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EDLP 2023_2027\10_Manual y plantillas procedimiento\Plantillas convocatoria 2025_3ª Convocatoria\01_Solicitud de ayuda\"/>
    </mc:Choice>
  </mc:AlternateContent>
  <xr:revisionPtr revIDLastSave="0" documentId="8_{096919B4-5E1A-4D4D-8584-4A7DE6E067A8}" xr6:coauthVersionLast="47" xr6:coauthVersionMax="47" xr10:uidLastSave="{00000000-0000-0000-0000-000000000000}"/>
  <bookViews>
    <workbookView xWindow="-120" yWindow="-120" windowWidth="29040" windowHeight="15720" tabRatio="961" xr2:uid="{00000000-000D-0000-FFFF-FFFF00000000}"/>
  </bookViews>
  <sheets>
    <sheet name="Baremación-EDER-PROD" sheetId="13" r:id="rId1"/>
    <sheet name="Referencias Productivos" sheetId="14" state="hidden" r:id="rId2"/>
    <sheet name="Referencias NO Productivos" sheetId="16" state="hidden" r:id="rId3"/>
  </sheets>
  <externalReferences>
    <externalReference r:id="rId4"/>
    <externalReference r:id="rId5"/>
  </externalReferences>
  <definedNames>
    <definedName name="__xlfn_IFERROR">#N/A</definedName>
    <definedName name="_xlnm.Print_Area" localSheetId="0">'Baremación-EDER-PROD'!$A$1:$J$225</definedName>
    <definedName name="CriterioCST">[1]Listas!$B$23:$B$25</definedName>
    <definedName name="Municipio">[1]Municipios!$C$2:$C$278</definedName>
    <definedName name="SINO">[1]Listas!$AC$2:$AC$3</definedName>
    <definedName name="Tipo_pago">[1]Listas!$AA$2:$AA$5</definedName>
    <definedName name="Tipo_promotor">[1]Listas!$D$2:$D$12</definedName>
    <definedName name="_xlnm.Print_Titles" localSheetId="0">'Baremación-EDER-PROD'!$1:$11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35" i="16" l="1"/>
  <c r="AG35" i="16"/>
  <c r="AF30" i="16"/>
  <c r="H76" i="13" l="1"/>
  <c r="N68" i="13" s="1"/>
  <c r="AH35" i="14"/>
  <c r="AG35" i="14" s="1"/>
  <c r="AF30" i="14"/>
  <c r="N199" i="13"/>
  <c r="K199" i="13"/>
  <c r="N196" i="13"/>
  <c r="K196" i="13"/>
  <c r="H194" i="13"/>
  <c r="H192" i="13"/>
  <c r="I196" i="13" s="1"/>
  <c r="N190" i="13"/>
  <c r="K190" i="13"/>
  <c r="N188" i="13"/>
  <c r="K188" i="13"/>
  <c r="H186" i="13"/>
  <c r="H184" i="13"/>
  <c r="H182" i="13"/>
  <c r="N180" i="13"/>
  <c r="K180" i="13"/>
  <c r="H178" i="13"/>
  <c r="H176" i="13"/>
  <c r="H174" i="13"/>
  <c r="H172" i="13"/>
  <c r="H170" i="13"/>
  <c r="H168" i="13"/>
  <c r="H166" i="13"/>
  <c r="H164" i="13"/>
  <c r="H162" i="13"/>
  <c r="N160" i="13"/>
  <c r="K160" i="13"/>
  <c r="H158" i="13"/>
  <c r="H156" i="13"/>
  <c r="H154" i="13"/>
  <c r="H152" i="13"/>
  <c r="H150" i="13"/>
  <c r="K148" i="13"/>
  <c r="N146" i="13"/>
  <c r="N148" i="13" s="1"/>
  <c r="K146" i="13"/>
  <c r="H144" i="13"/>
  <c r="G146" i="13" s="1"/>
  <c r="N142" i="13"/>
  <c r="K142" i="13"/>
  <c r="H140" i="13"/>
  <c r="H138" i="13"/>
  <c r="H136" i="13"/>
  <c r="H134" i="13"/>
  <c r="I142" i="13" s="1"/>
  <c r="N132" i="13"/>
  <c r="K132" i="13"/>
  <c r="H130" i="13"/>
  <c r="H126" i="13"/>
  <c r="H124" i="13"/>
  <c r="N120" i="13"/>
  <c r="K120" i="13"/>
  <c r="N119" i="13"/>
  <c r="K119" i="13"/>
  <c r="H115" i="13"/>
  <c r="H113" i="13"/>
  <c r="N111" i="13"/>
  <c r="N117" i="13" s="1"/>
  <c r="K111" i="13"/>
  <c r="K117" i="13" s="1"/>
  <c r="H109" i="13"/>
  <c r="I109" i="13" s="1"/>
  <c r="H107" i="13"/>
  <c r="I107" i="13" s="1"/>
  <c r="N105" i="13"/>
  <c r="K105" i="13"/>
  <c r="H103" i="13"/>
  <c r="I103" i="13" s="1"/>
  <c r="H101" i="13"/>
  <c r="I101" i="13" s="1"/>
  <c r="H99" i="13"/>
  <c r="I99" i="13" s="1"/>
  <c r="H97" i="13"/>
  <c r="I97" i="13" s="1"/>
  <c r="H95" i="13"/>
  <c r="I95" i="13" s="1"/>
  <c r="N93" i="13"/>
  <c r="K93" i="13"/>
  <c r="H91" i="13"/>
  <c r="I91" i="13" s="1"/>
  <c r="I89" i="13"/>
  <c r="I87" i="13"/>
  <c r="N42" i="13"/>
  <c r="N45" i="13" s="1"/>
  <c r="K42" i="13"/>
  <c r="K45" i="13" s="1"/>
  <c r="H40" i="13"/>
  <c r="I42" i="13" s="1"/>
  <c r="N38" i="13"/>
  <c r="H36" i="13"/>
  <c r="H34" i="13"/>
  <c r="N32" i="13"/>
  <c r="H30" i="13"/>
  <c r="H28" i="13"/>
  <c r="I32" i="13" s="1"/>
  <c r="N24" i="13"/>
  <c r="H22" i="13"/>
  <c r="H20" i="13"/>
  <c r="H16" i="13"/>
  <c r="H14" i="13"/>
  <c r="I38" i="13" l="1"/>
  <c r="G117" i="13"/>
  <c r="I146" i="13"/>
  <c r="I148" i="13" s="1"/>
  <c r="I132" i="13"/>
  <c r="I188" i="13"/>
  <c r="I180" i="13"/>
  <c r="G160" i="13"/>
  <c r="I160" i="13"/>
  <c r="I117" i="13"/>
  <c r="I93" i="13"/>
  <c r="G24" i="13"/>
  <c r="G18" i="13"/>
  <c r="I83" i="13"/>
  <c r="I209" i="13" s="1"/>
  <c r="H78" i="13"/>
  <c r="K70" i="13" s="1"/>
  <c r="I80" i="13"/>
  <c r="H56" i="13"/>
  <c r="H70" i="13"/>
  <c r="H50" i="13"/>
  <c r="N50" i="13" s="1"/>
  <c r="H58" i="13"/>
  <c r="I72" i="13"/>
  <c r="H64" i="13"/>
  <c r="H54" i="13"/>
  <c r="H66" i="13"/>
  <c r="H68" i="13"/>
  <c r="N78" i="13" s="1"/>
  <c r="N80" i="13" s="1"/>
  <c r="H52" i="13"/>
  <c r="H60" i="13"/>
  <c r="H74" i="13"/>
  <c r="H62" i="13"/>
  <c r="N62" i="13" s="1"/>
  <c r="G32" i="13"/>
  <c r="I105" i="13"/>
  <c r="G105" i="13"/>
  <c r="I111" i="13"/>
  <c r="G111" i="13"/>
  <c r="G188" i="13"/>
  <c r="G180" i="13"/>
  <c r="K68" i="13"/>
  <c r="G132" i="13"/>
  <c r="G142" i="13"/>
  <c r="G148" i="13" s="1"/>
  <c r="G196" i="13"/>
  <c r="G42" i="13"/>
  <c r="I190" i="13" l="1"/>
  <c r="I199" i="13" s="1"/>
  <c r="I213" i="13" s="1"/>
  <c r="G190" i="13"/>
  <c r="I120" i="13"/>
  <c r="I211" i="13" s="1"/>
  <c r="I26" i="13"/>
  <c r="I45" i="13" s="1"/>
  <c r="G26" i="13"/>
  <c r="N70" i="13"/>
  <c r="K62" i="13"/>
  <c r="K52" i="13"/>
  <c r="N52" i="13"/>
  <c r="K66" i="13"/>
  <c r="K72" i="13" s="1"/>
  <c r="N66" i="13"/>
  <c r="N72" i="13" s="1"/>
  <c r="G72" i="13"/>
  <c r="K78" i="13"/>
  <c r="K80" i="13" s="1"/>
  <c r="K50" i="13"/>
  <c r="N54" i="13"/>
  <c r="K54" i="13"/>
  <c r="G80" i="13"/>
  <c r="N64" i="13" l="1"/>
  <c r="I217" i="13"/>
  <c r="I207" i="13"/>
  <c r="N83" i="13"/>
  <c r="N217" i="13" s="1"/>
  <c r="K64" i="13"/>
  <c r="K83" i="13" s="1"/>
  <c r="K217" i="13" s="1"/>
</calcChain>
</file>

<file path=xl/sharedStrings.xml><?xml version="1.0" encoding="utf-8"?>
<sst xmlns="http://schemas.openxmlformats.org/spreadsheetml/2006/main" count="941" uniqueCount="387">
  <si>
    <t>Edad</t>
  </si>
  <si>
    <t>2 puntos</t>
  </si>
  <si>
    <t>Colectivos vulnerables</t>
  </si>
  <si>
    <t>4 puntos</t>
  </si>
  <si>
    <t>Género</t>
  </si>
  <si>
    <t>3 puntos</t>
  </si>
  <si>
    <t>1 punto</t>
  </si>
  <si>
    <t>6 puntos</t>
  </si>
  <si>
    <t>Asociación</t>
  </si>
  <si>
    <t>Proyectos cooperativos</t>
  </si>
  <si>
    <t>Puntuación máxima criterio 6 puntos</t>
  </si>
  <si>
    <t>Promoción del patrimonio cultural del territorio</t>
  </si>
  <si>
    <t>5 puntos</t>
  </si>
  <si>
    <t xml:space="preserve">EJECUCIÓN DE LA EDLP: AYUDAS A PROMOTORES PÚBLICOS Y PRIVADOS                                                                     </t>
  </si>
  <si>
    <t>PROYECTOS PRODUCTIVOS</t>
  </si>
  <si>
    <t>BAREMACIÓN</t>
  </si>
  <si>
    <t>Grupo de Acción Local Consorcio EDER - Ribera de Navarra</t>
  </si>
  <si>
    <t>DATOS DE LA PERSONA/ENTIDAD SOLICITANTE</t>
  </si>
  <si>
    <t>NOTA: Aparece en rojo las discrepancias con el anexo presentado con el beneficiario.</t>
  </si>
  <si>
    <t>NOTA: Aparece en rojo las discrepancias con la revisión del Equipo Técnico del GAL Consorcio EDER</t>
  </si>
  <si>
    <t>NIF/CIF:</t>
  </si>
  <si>
    <t>Localidad:</t>
  </si>
  <si>
    <t>Nº de Expediente</t>
  </si>
  <si>
    <t>Nº</t>
  </si>
  <si>
    <t>TEMÁTICA</t>
  </si>
  <si>
    <t>CRITERIO DE SELECCIÓN</t>
  </si>
  <si>
    <t>DESCRIPCIÓN</t>
  </si>
  <si>
    <t>GRADUACIÓN DEL CRITERIO DE SELECCIÓN</t>
  </si>
  <si>
    <t>Puntuación máxima por Criterio</t>
  </si>
  <si>
    <t>Indicadores del proyecto (Unidades)</t>
  </si>
  <si>
    <t>Puntuación del  proyecto</t>
  </si>
  <si>
    <r>
      <rPr>
        <sz val="8"/>
        <color theme="1"/>
        <rFont val="Calibri"/>
        <family val="2"/>
        <scheme val="minor"/>
      </rPr>
      <t>COMPROBACIÓN</t>
    </r>
    <r>
      <rPr>
        <sz val="14"/>
        <color theme="1"/>
        <rFont val="Calibri"/>
        <family val="2"/>
        <scheme val="minor"/>
      </rPr>
      <t xml:space="preserve"> </t>
    </r>
    <r>
      <rPr>
        <b/>
        <sz val="20"/>
        <color theme="1"/>
        <rFont val="Calibri"/>
        <family val="2"/>
        <scheme val="minor"/>
      </rPr>
      <t>EDER</t>
    </r>
  </si>
  <si>
    <t>OBSERVACIONES</t>
  </si>
  <si>
    <r>
      <rPr>
        <sz val="8"/>
        <color theme="1"/>
        <rFont val="Calibri"/>
        <family val="2"/>
        <scheme val="minor"/>
      </rPr>
      <t>COMPROBACIÓN</t>
    </r>
    <r>
      <rPr>
        <sz val="18"/>
        <color theme="1"/>
        <rFont val="Calibri"/>
        <family val="2"/>
        <scheme val="minor"/>
      </rPr>
      <t xml:space="preserve"> </t>
    </r>
    <r>
      <rPr>
        <b/>
        <sz val="20"/>
        <color theme="1"/>
        <rFont val="Calibri"/>
        <family val="2"/>
        <scheme val="minor"/>
      </rPr>
      <t>SDR</t>
    </r>
  </si>
  <si>
    <t>A.-Características de la persona solicitante. Máximo 15 puntos en grupo</t>
  </si>
  <si>
    <t>Jóvenes  (&lt; o = 35 años)</t>
  </si>
  <si>
    <t>Persona física joven (&lt; o = 35 años)</t>
  </si>
  <si>
    <t>SI</t>
  </si>
  <si>
    <t>Más del 50 % del Capital social y Órganos de Gobierno recaen en jóvenes</t>
  </si>
  <si>
    <t>Puntuación máxima criterio jovenes - 2 puntos</t>
  </si>
  <si>
    <t>Total Puntuación subcriterio:</t>
  </si>
  <si>
    <t>Mayores de 45 años</t>
  </si>
  <si>
    <t>Mayores (&gt; 45 años)</t>
  </si>
  <si>
    <t>Más del 50 % del Capital social y Órganos de Gobierno recaen en mayores de 45 años</t>
  </si>
  <si>
    <t>Puntuación máxima criterio mayores 45 años - 2 puntos</t>
  </si>
  <si>
    <t>Puntuación máxima temática Edad - 4 puntos</t>
  </si>
  <si>
    <t>Total Puntuación temática:</t>
  </si>
  <si>
    <t>Persona física de colectivo vulnerable</t>
  </si>
  <si>
    <t>Más del 50 % del Capital social y Órganos de Gobierno recaen en colectivos vulnerables</t>
  </si>
  <si>
    <t>Puntuación máxima temática colectivos vulnerables 4 puntos</t>
  </si>
  <si>
    <t>Mujeres</t>
  </si>
  <si>
    <t>Persona física mujer</t>
  </si>
  <si>
    <t>Más del 50 % del Capital social y Órganos de Gobierno recaen en mujeres</t>
  </si>
  <si>
    <t>Puntuación máxima temática género 4 puntos</t>
  </si>
  <si>
    <t>Ayudas LEADER</t>
  </si>
  <si>
    <t>Beneficiario/a en convocatorias LEADER anteriores
 (periodo 2023-2027) :</t>
  </si>
  <si>
    <t>Beneficiario de 3 o más proyectos</t>
  </si>
  <si>
    <t>Puntuación máxima temática ayudas LEADER 3 puntos</t>
  </si>
  <si>
    <t>Puntuación Total características de la persona solicitante</t>
  </si>
  <si>
    <t>B.-Riesgo de despoblación y características del municipio donde se ubica el proyecto. Máximo 20 puntos en el grupo</t>
  </si>
  <si>
    <t xml:space="preserve">Elegir la localidad en la pestaña desplegable. En el caso de que el proyecto se desarrolle en varias localidades, la puntuación deberá ser consultada al personal de Consorcio EDER. </t>
  </si>
  <si>
    <t>Media Ribera</t>
  </si>
  <si>
    <t>Población</t>
  </si>
  <si>
    <t>Nº de habitantes</t>
  </si>
  <si>
    <t>1,5 puntos</t>
  </si>
  <si>
    <t>Tendencia poblacional 2010-2020</t>
  </si>
  <si>
    <t>Nº habitantes en 2020 respecto al Nº habitantes en 2010</t>
  </si>
  <si>
    <t>Densidad de población (hb/Km2) 2020</t>
  </si>
  <si>
    <t>Nº de habitantes por km2</t>
  </si>
  <si>
    <t>0,50 puntos</t>
  </si>
  <si>
    <t>Población joven 2020</t>
  </si>
  <si>
    <t>Población de 0 a 14 años entre el total de la población</t>
  </si>
  <si>
    <t>Índice de envejecimiento 2020</t>
  </si>
  <si>
    <t xml:space="preserve">Población mayor de 59 años entre el total de la población </t>
  </si>
  <si>
    <t>Índice de masculinidad 2020</t>
  </si>
  <si>
    <t>Nº de hombres por cada 100 mujeres</t>
  </si>
  <si>
    <t>Inmigración 2020</t>
  </si>
  <si>
    <t>Población nacida en el extranjero entre el total de la población</t>
  </si>
  <si>
    <t>Tasa de paro 2020</t>
  </si>
  <si>
    <t>Porcentaje de personas que se encuentran en paro respecto al total de personas activas.</t>
  </si>
  <si>
    <t>Puestos de trabajo por cada 100 hab. 2020</t>
  </si>
  <si>
    <t xml:space="preserve">Nº de puestos de trabajo / 100                       </t>
  </si>
  <si>
    <t>Afiliación a la SS respecto a población total 2020</t>
  </si>
  <si>
    <t>Población afiliada respecto a la población total</t>
  </si>
  <si>
    <t>Afiliación a la SS en el sector agrario 2020</t>
  </si>
  <si>
    <t>Población afiliada en el sector agrario respecto al total de afiliaciones</t>
  </si>
  <si>
    <t>Puntuación máxima temática indicadores sociodemográficos y de empleo 15 puntos</t>
  </si>
  <si>
    <t>Zona Limitaciones Naturales</t>
  </si>
  <si>
    <t>Catalogación del municipioo</t>
  </si>
  <si>
    <t>Aislamiento General</t>
  </si>
  <si>
    <t>Tiempo de viaje en minutos municipios de más de 12.000 hab.</t>
  </si>
  <si>
    <t>Km2 Natura 2000</t>
  </si>
  <si>
    <t>Superficie Natura 2000 respecto al total</t>
  </si>
  <si>
    <t>3,25 puntos</t>
  </si>
  <si>
    <t>Puntuación máxima temática indicadores naturales 5 puntos</t>
  </si>
  <si>
    <t>Puntuación Total Calificación del Territorio</t>
  </si>
  <si>
    <t>C.- Empleo, emprendimiento y cooperación. Máximo 35 puntos en el grupo</t>
  </si>
  <si>
    <t>Empleo Directo</t>
  </si>
  <si>
    <t>Creación de empleo directo</t>
  </si>
  <si>
    <t>Nº y tipo de puestos de trabajo</t>
  </si>
  <si>
    <t xml:space="preserve">Empleo a jornada completa </t>
  </si>
  <si>
    <t>12 puntos</t>
  </si>
  <si>
    <r>
      <t xml:space="preserve">Empleo </t>
    </r>
    <r>
      <rPr>
        <sz val="18"/>
        <color theme="1"/>
        <rFont val="Calibri"/>
        <family val="2"/>
      </rPr>
      <t>≥ 1/2 jornada</t>
    </r>
  </si>
  <si>
    <t>Mantenimiento de empleo directo</t>
  </si>
  <si>
    <t>Total Puntuación Temática Empleo Directo (máximo 15 puntos):</t>
  </si>
  <si>
    <t xml:space="preserve">Emprendimiento </t>
  </si>
  <si>
    <t>Creación de nueva empresa</t>
  </si>
  <si>
    <t>Nueva empresa creada</t>
  </si>
  <si>
    <r>
      <t xml:space="preserve">Sector priorizado en la convocatoria </t>
    </r>
    <r>
      <rPr>
        <sz val="14"/>
        <color theme="1"/>
        <rFont val="Calibri"/>
        <family val="2"/>
        <scheme val="minor"/>
      </rPr>
      <t>(ECESI, bioeconomía, silvicultura u otros)</t>
    </r>
  </si>
  <si>
    <t>Nueva actividad económica</t>
  </si>
  <si>
    <t>Nueva actividad económica inexistente en el municipio</t>
  </si>
  <si>
    <t>Nueva actividad económica para la empresa/entidad</t>
  </si>
  <si>
    <t>Puntuación máxima temática Emprendimiento 10 puntos</t>
  </si>
  <si>
    <t>Adhesión a asociaciones</t>
  </si>
  <si>
    <t>Carácter</t>
  </si>
  <si>
    <t>Puntuación máxima temática asociación 5 puntos</t>
  </si>
  <si>
    <t>Colaboración intersectorial</t>
  </si>
  <si>
    <t>Convenio de cooperación/colaboración entre entidades públicas y/o privadas</t>
  </si>
  <si>
    <t>Público-Privada</t>
  </si>
  <si>
    <t>Cooperación</t>
  </si>
  <si>
    <t>Nº de participantes en el convenio</t>
  </si>
  <si>
    <t>3 o más participantes</t>
  </si>
  <si>
    <t>Puntuación máxima temática proyectos cooperativos 5 puntos</t>
  </si>
  <si>
    <t>Puntuación Total empleo, emprendimiento y cooperación</t>
  </si>
  <si>
    <t>D.-Contribución del proyectoa los objetivos de la EDLP. Máximo 30 puntos en el grupo</t>
  </si>
  <si>
    <t>Comunicación e innovación digital</t>
  </si>
  <si>
    <t>Plan de difusión, divulgación y/o promoción</t>
  </si>
  <si>
    <t>Innovación y transformación digital</t>
  </si>
  <si>
    <t>Puntuación máxima temática comunicación e innovación digital 6 puntos</t>
  </si>
  <si>
    <t>Soluciones innovadoras al cuidado del medioambiente</t>
  </si>
  <si>
    <t>Sostenibilidad ambiental</t>
  </si>
  <si>
    <t>inversiones y/o soluciones innovadoras en uso eficiente de recursos</t>
  </si>
  <si>
    <t>NO</t>
  </si>
  <si>
    <t>inversiones y/o soluciones innovadoras en empleo de subproductos</t>
  </si>
  <si>
    <t>inversiones y/o soluciones innovadoras en conservación de la naturaleza</t>
  </si>
  <si>
    <t>inversiones y/o soluciones innovadoras en educación ambiental</t>
  </si>
  <si>
    <t>Inversiones en Energías Renovables</t>
  </si>
  <si>
    <t>Inversiones y/o instalaciones y uso y/o generación de energía renovable.</t>
  </si>
  <si>
    <t>Puntuación máxima criterio 2 puntos</t>
  </si>
  <si>
    <t>Puntuación máxima por temática soluciones innovadoras al cuidado del medioambiente 8 puntos</t>
  </si>
  <si>
    <t>Mejora de la calidad de vida</t>
  </si>
  <si>
    <t>Fomento del estilo de vida saludable</t>
  </si>
  <si>
    <t>Promueve un estilo de vida saludable relacionado con una alimentación saludable</t>
  </si>
  <si>
    <t>Promueve un estilo de vida saludable relacionado con la actividad física</t>
  </si>
  <si>
    <t xml:space="preserve">Promueve un estilo de vida saludable relacionado con el bienestar emocional </t>
  </si>
  <si>
    <t>Promueve un estilo de vida saludable relacionado con la prevención</t>
  </si>
  <si>
    <t>Incorpora acciones complementarias encaminadas a a sensibilizar  y fomentar un estilo de vida saludable</t>
  </si>
  <si>
    <t>Puntuación máxima criterio 3 puntos</t>
  </si>
  <si>
    <t>Dirigido a jóvenes</t>
  </si>
  <si>
    <t>Dirigido a personas mayores</t>
  </si>
  <si>
    <t>Dirigido a colectivos vulnerables</t>
  </si>
  <si>
    <t>Mejora de accesibilidad</t>
  </si>
  <si>
    <t>Capacitación de RRHH</t>
  </si>
  <si>
    <t>Innovación social</t>
  </si>
  <si>
    <t>Inclusión social</t>
  </si>
  <si>
    <t>Otros</t>
  </si>
  <si>
    <t>Acciones complementarias relacionada con las temáticas anteriores</t>
  </si>
  <si>
    <t>Igualdad de oportunidades entre hombres y mujeres</t>
  </si>
  <si>
    <t>El proyecto potencia la participación de mujeres o de las asociaciones de mujeres</t>
  </si>
  <si>
    <t>El proyecto incorporan y apoyan el liderazgo de mujeres</t>
  </si>
  <si>
    <t>El proyecto ayuda a eliminar estereotipos de género y/o fomentar la visibilidad de mujeres en ámbitos masculinizados</t>
  </si>
  <si>
    <t>Puntuación máxima por temática mejora de la calidad de vida 8 puntos</t>
  </si>
  <si>
    <t>Conservación, mejora y divulgación del patrimonio cultural</t>
  </si>
  <si>
    <t>Conservación y/o mejora de inmuebles con protección y/o catalogación</t>
  </si>
  <si>
    <t>Acciones de divulgación</t>
  </si>
  <si>
    <t>Puntuación máxima por temática promoción del patrimonio cultural del territorio 8 puntos</t>
  </si>
  <si>
    <t>Puntuación Total contribución del proyecto a los objetivos de la EDLP</t>
  </si>
  <si>
    <t xml:space="preserve">Puntuación mínima para ser subvencionable: 30 puntos para  proyectos productivos </t>
  </si>
  <si>
    <t xml:space="preserve">Resumen Puntuación Total del Proyecto </t>
  </si>
  <si>
    <t xml:space="preserve">Puntuación Total del proyecto </t>
  </si>
  <si>
    <t xml:space="preserve">Firmado: </t>
  </si>
  <si>
    <t>LOCALIDAD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</si>
  <si>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</si>
  <si>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</si>
  <si>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</si>
  <si>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</si>
  <si>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</si>
  <si>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</si>
  <si>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</si>
  <si>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</si>
  <si>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</si>
  <si>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</si>
  <si>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</si>
  <si>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 1-11</t>
  </si>
  <si>
    <t>B12</t>
  </si>
  <si>
    <t>B13</t>
  </si>
  <si>
    <t>B15</t>
  </si>
  <si>
    <t>B 12-15</t>
  </si>
  <si>
    <t>TOTAL</t>
  </si>
  <si>
    <t>POBLACIÓN</t>
  </si>
  <si>
    <t>TENDENCIA POBLACIONAL (2010-2020)</t>
  </si>
  <si>
    <t>DENSIDAD DE POBLACIÓN</t>
  </si>
  <si>
    <t>POBLACIÓN JOVEN</t>
  </si>
  <si>
    <t>ENVEJECIMIENTO POBLACIÓN</t>
  </si>
  <si>
    <t>INDICE MASCULINIDAD</t>
  </si>
  <si>
    <t>INMIGRACIÓN</t>
  </si>
  <si>
    <t>TASA DE PARO</t>
  </si>
  <si>
    <t>PUESTOS TRABAJO POR CADA 100 HAB</t>
  </si>
  <si>
    <t>Afiliación a la SS</t>
  </si>
  <si>
    <t>Afiliación a la SS agraria</t>
  </si>
  <si>
    <t>PUNTUACIÓN TOTAL INDICADORES SOCIODEMOGRÁFICOS Y EMPLEO</t>
  </si>
  <si>
    <t>Zona de limitaciones naturales</t>
  </si>
  <si>
    <t>Aislamiento general</t>
  </si>
  <si>
    <t>Espacios naturales protegidos</t>
  </si>
  <si>
    <t>PUNTUACIÓN TOTAL INDICADORES NATURALES</t>
  </si>
  <si>
    <t>Puntuación población</t>
  </si>
  <si>
    <t>Puntuación Tendencia</t>
  </si>
  <si>
    <t>Puntuación Densidad</t>
  </si>
  <si>
    <t>Puntuación Población Jóven</t>
  </si>
  <si>
    <t xml:space="preserve">ENVEJECIMIENTO DE LA POBLACIÓN </t>
  </si>
  <si>
    <t>Puntuación envejecimiento</t>
  </si>
  <si>
    <t>ÍNDICE DE MASCULINIDAD</t>
  </si>
  <si>
    <t>Puntuación Masculinidad</t>
  </si>
  <si>
    <t>Puntuación Inmigración</t>
  </si>
  <si>
    <t>Puntuación Paro</t>
  </si>
  <si>
    <t>PUESTOS DE TRABAJO POR CADA 100 HABITANTES</t>
  </si>
  <si>
    <t>Puntuación Puestos de Trabajo</t>
  </si>
  <si>
    <t>AFILIACIÓN A LA SEG SOC</t>
  </si>
  <si>
    <t>Puntuación Seg. Social</t>
  </si>
  <si>
    <t>AFILIACIÓN A LA SEG SOC EN EL SECTOR AGRARIO</t>
  </si>
  <si>
    <t>Puntuación Seg. Social Agrario</t>
  </si>
  <si>
    <t>ZONA DE LIMITACIONES NATURALES</t>
  </si>
  <si>
    <t>Puntuación Zonificación</t>
  </si>
  <si>
    <t>AISLAMIENTO GENERAL</t>
  </si>
  <si>
    <t>Puntuación Aislamiento</t>
  </si>
  <si>
    <t>ESPACIOS NATURALES PROTEGIDOS</t>
  </si>
  <si>
    <t>Puntuación Espacios Protegidos</t>
  </si>
  <si>
    <t xml:space="preserve">Ablitas </t>
  </si>
  <si>
    <t>Con limitación</t>
  </si>
  <si>
    <t xml:space="preserve">Arguedas </t>
  </si>
  <si>
    <t>ordinaria</t>
  </si>
  <si>
    <t xml:space="preserve">Azagra </t>
  </si>
  <si>
    <t xml:space="preserve">Barillas </t>
  </si>
  <si>
    <t xml:space="preserve">Buñuel </t>
  </si>
  <si>
    <t xml:space="preserve">Cabanillas </t>
  </si>
  <si>
    <t xml:space="preserve">Cadreita </t>
  </si>
  <si>
    <t xml:space="preserve">Cascante </t>
  </si>
  <si>
    <t xml:space="preserve">Castejón </t>
  </si>
  <si>
    <t xml:space="preserve">Cintruénigo </t>
  </si>
  <si>
    <t xml:space="preserve">Corella </t>
  </si>
  <si>
    <t xml:space="preserve">Cortes </t>
  </si>
  <si>
    <t xml:space="preserve">Falces </t>
  </si>
  <si>
    <t xml:space="preserve">Fitero </t>
  </si>
  <si>
    <t xml:space="preserve">Fontellas </t>
  </si>
  <si>
    <t xml:space="preserve">Funes </t>
  </si>
  <si>
    <t xml:space="preserve">Fustiñana </t>
  </si>
  <si>
    <t xml:space="preserve">Marcilla </t>
  </si>
  <si>
    <t xml:space="preserve">Milagro </t>
  </si>
  <si>
    <t xml:space="preserve">Monteagudo </t>
  </si>
  <si>
    <t xml:space="preserve">Murchante </t>
  </si>
  <si>
    <t xml:space="preserve">Peralta/Azkoien </t>
  </si>
  <si>
    <t xml:space="preserve">Ribaforada </t>
  </si>
  <si>
    <t xml:space="preserve">Tudela </t>
  </si>
  <si>
    <t xml:space="preserve">Tulebras </t>
  </si>
  <si>
    <t xml:space="preserve">Valtierra </t>
  </si>
  <si>
    <t xml:space="preserve">Villafranca </t>
  </si>
  <si>
    <t>A.-Características de la persona solicitante. 15 puntos</t>
  </si>
  <si>
    <t>CRITERIO SELECCIÓN</t>
  </si>
  <si>
    <t>UNIDAD</t>
  </si>
  <si>
    <t>PUNTUACIÓN</t>
  </si>
  <si>
    <t>EDAD</t>
  </si>
  <si>
    <t>JÓVENES</t>
  </si>
  <si>
    <t xml:space="preserve">* Persona física con 35 años o menos
</t>
  </si>
  <si>
    <t>* Entidad privada con al menos el 50 % del capital social y órganos de gobierno recaen en personas con 35 años o menos</t>
  </si>
  <si>
    <t>MAYORES DE 45 AÑOS</t>
  </si>
  <si>
    <t xml:space="preserve">* Persona física mayor de 45 años
</t>
  </si>
  <si>
    <t>* Entidad privada con al menos el 50 % del capital social y órganos de gobierno recaen en personas con más de 45 años</t>
  </si>
  <si>
    <t>COLECTIVOS VULNERABLES</t>
  </si>
  <si>
    <r>
      <t xml:space="preserve">PERSONAS DE COLECTIVOS VULNERABLE 
- </t>
    </r>
    <r>
      <rPr>
        <sz val="8"/>
        <color theme="1"/>
        <rFont val="Calibri"/>
        <family val="2"/>
        <scheme val="minor"/>
      </rPr>
      <t>personas desempleadas de larga duración
- personas con discapacidad
- personas en situación o riesgo de exclusión social 
- personas perceptoras de Renta Garantizada o Ingreso Mínimo Vital 
- personas víctimas de violencia de género</t>
    </r>
  </si>
  <si>
    <t xml:space="preserve">* Persona física perteneciente a colectivo vulnerable
</t>
  </si>
  <si>
    <t>* Entidad privada con al menos el 50 % del capital social y órganos de gobierno recaen en personas pertenecientes a algún colectivo vulnerable</t>
  </si>
  <si>
    <t>GÉNERO</t>
  </si>
  <si>
    <t>MUJERES</t>
  </si>
  <si>
    <t xml:space="preserve">* Persona física mujer
</t>
  </si>
  <si>
    <t>* Entidad privada con al menos el 50 % del capital social y órganos de gobierno recaen enmujeres</t>
  </si>
  <si>
    <t>AYUDAS LEADER</t>
  </si>
  <si>
    <t>BENEFICIARIO ANTERIOR</t>
  </si>
  <si>
    <t>Se priorizan cuya personas solicitante haya sido bneficiario de ayudas LEADER en el periodo 2023-2029</t>
  </si>
  <si>
    <t>Beneficiario de 2 proyectos</t>
  </si>
  <si>
    <t>Beneficiario de 1 proyecto</t>
  </si>
  <si>
    <t>No ha sido beneficiario anteriormente</t>
  </si>
  <si>
    <t>EMPLEO DIRECTO</t>
  </si>
  <si>
    <t>Jornada completa</t>
  </si>
  <si>
    <t>media jornada</t>
  </si>
  <si>
    <t>Mantenimiento de empleo</t>
  </si>
  <si>
    <t>Mantenimiento de puestos de trabajo ya existentes</t>
  </si>
  <si>
    <t>EMPRENDIMIENTO</t>
  </si>
  <si>
    <t>Sector priorizado en EDLP</t>
  </si>
  <si>
    <t>Nueva actividad económica en el municipio</t>
  </si>
  <si>
    <t>Nueva actividad económica para la empresa</t>
  </si>
  <si>
    <t>ASOCIACIÓN</t>
  </si>
  <si>
    <t>Adhesiones</t>
  </si>
  <si>
    <t>Adhesión a Asociación y/o Creación Asociación relacionada con el proyecto</t>
  </si>
  <si>
    <t xml:space="preserve">Carácter </t>
  </si>
  <si>
    <r>
      <t>Empresa con carácter asociativo y/o de Eª social (</t>
    </r>
    <r>
      <rPr>
        <sz val="8"/>
        <color theme="1"/>
        <rFont val="Calibri"/>
        <family val="2"/>
        <scheme val="minor"/>
      </rPr>
      <t>SAT, Cooperativa, Sdad. Laboral, Eª de inserción sociolaboral o Centros especiales de empleo</t>
    </r>
    <r>
      <rPr>
        <sz val="11"/>
        <color theme="1"/>
        <rFont val="Calibri"/>
        <family val="2"/>
        <scheme val="minor"/>
      </rPr>
      <t>)</t>
    </r>
  </si>
  <si>
    <t>PROYECTOS COOPERATIVOS</t>
  </si>
  <si>
    <t>Colaboración Intersectorial (tipo de convenio)</t>
  </si>
  <si>
    <t>Tipo de colaboración</t>
  </si>
  <si>
    <t>No colaboración</t>
  </si>
  <si>
    <t>Público-Público</t>
  </si>
  <si>
    <t>Privado-Privado</t>
  </si>
  <si>
    <t>Nº de participantes</t>
  </si>
  <si>
    <t>0 participantes</t>
  </si>
  <si>
    <t>2 participantes</t>
  </si>
  <si>
    <t>Cooperación (Nº de participantes)</t>
  </si>
  <si>
    <t>Nº de entidades participantes en proyecto de cooperación</t>
  </si>
  <si>
    <t>No cooperación</t>
  </si>
  <si>
    <t>Nº de entidades participantes en proyecto de colaboración</t>
  </si>
  <si>
    <t>COMUNICACIÓN E INNOVACIÓN DIGITAL</t>
  </si>
  <si>
    <t>Plan de difusión/divulgación</t>
  </si>
  <si>
    <t>Dispone de plan de difusión (medio de prensa comarcal + RRSS)</t>
  </si>
  <si>
    <t>Innovación de procesos</t>
  </si>
  <si>
    <t>Innovación de producto o servicios</t>
  </si>
  <si>
    <t>Transformación digital</t>
  </si>
  <si>
    <t>SOLUCIONES INNOVADORAS AL CUIDADO DEL MEDIO AMBIENTE</t>
  </si>
  <si>
    <t>Sostenibilidad Ambiental</t>
  </si>
  <si>
    <t>MEJORA DE LA CALIDAD DE VIDA DE LA POBLACIÓN</t>
  </si>
  <si>
    <t>Incorpora acciones para sensibilizar y fomentar un estilo de vida saludable (relacionado con alimentación saludable, la actividad física, el bienestar emocional y/o prevención)</t>
  </si>
  <si>
    <t>Innovación y emprendimiento social</t>
  </si>
  <si>
    <t>Potencia la participación de mujeres o de las asociaciones de mujeres</t>
  </si>
  <si>
    <t>Incorporan y apoyan el liderazgo de mujeres</t>
  </si>
  <si>
    <t>Ayudan a eliminar estereotipos de género y/o fomentan la visibilidad de mujeres en ámbitos masculinizados</t>
  </si>
  <si>
    <t>PORMOCIÓN DEL PATRIMONIO CULTURAL DEL TERRITORIO</t>
  </si>
  <si>
    <t>Conservacuón, mejora y divulgación del patrimonio cultural</t>
  </si>
  <si>
    <t xml:space="preserve">* Compromiso con colectivo joven
</t>
  </si>
  <si>
    <t>Tiene area, concejalía o comisión de juventud</t>
  </si>
  <si>
    <t>Incluye en estatutos colectivo joven</t>
  </si>
  <si>
    <t>NO compromiso coletivo joven</t>
  </si>
  <si>
    <t>* Porcentaje jovenes en Órganos de Gobierno que recaen en personas con 35 años o menos</t>
  </si>
  <si>
    <r>
      <t xml:space="preserve"> </t>
    </r>
    <r>
      <rPr>
        <sz val="11"/>
        <color theme="1"/>
        <rFont val="Calibri"/>
        <family val="2"/>
      </rPr>
      <t xml:space="preserve">≥ 15 % </t>
    </r>
  </si>
  <si>
    <t xml:space="preserve"> ≥ 5 % y &lt; 15 % </t>
  </si>
  <si>
    <t>NO joven</t>
  </si>
  <si>
    <t>Compromiso con colectivo vulnerable</t>
  </si>
  <si>
    <t>Tiene area, concejalía o comisión de servicios sociales</t>
  </si>
  <si>
    <t>Incluye en estatutos colectivos vulnerable</t>
  </si>
  <si>
    <t>NO compromiso coletivo vulnerable</t>
  </si>
  <si>
    <t>Porcentaje colectivo vulnerable en Órganos de Gobierno</t>
  </si>
  <si>
    <t xml:space="preserve">Compromiso con igualdad de género
</t>
  </si>
  <si>
    <t>Tiene area, concejalía o comisión de igualdad</t>
  </si>
  <si>
    <t>Incluye en estatutos igualdad de género</t>
  </si>
  <si>
    <t>NO compromiso igualdad de género</t>
  </si>
  <si>
    <t>Porcentaje mujeres en Órganos de Gobierno</t>
  </si>
  <si>
    <r>
      <t xml:space="preserve"> </t>
    </r>
    <r>
      <rPr>
        <sz val="11"/>
        <color theme="1"/>
        <rFont val="Calibri"/>
        <family val="2"/>
      </rPr>
      <t xml:space="preserve">≥ 40 % </t>
    </r>
  </si>
  <si>
    <t xml:space="preserve"> ≥ 20 % y &lt; 40 % </t>
  </si>
  <si>
    <t>NO igualdad de genero</t>
  </si>
  <si>
    <t>Creación de nuevo recurso o servicio</t>
  </si>
  <si>
    <t>Creación de nuevo recurso o servicio en el municipio</t>
  </si>
  <si>
    <t>Adhesión a asociación u organización relacionada con el proyecto</t>
  </si>
  <si>
    <t>Adhesión a 2 o más asociaciones/organizaciones</t>
  </si>
  <si>
    <t>Adhesión a 1 asociación/organización</t>
  </si>
  <si>
    <t>Sólo RRSS</t>
  </si>
  <si>
    <t>Sólo medio comunicación</t>
  </si>
  <si>
    <t>NO difusión</t>
  </si>
  <si>
    <t>Conservación y/o mejorar del patrimonio cultural</t>
  </si>
  <si>
    <t xml:space="preserve">INSTRUCCIONES: </t>
  </si>
  <si>
    <t>Completar únicamente las celdas amarillas . Cada criterio dispone de un desplegable para seleccionar la puntuación que se solicita.</t>
  </si>
  <si>
    <t>Título del proyecto:</t>
  </si>
  <si>
    <t>Promotor:</t>
  </si>
  <si>
    <r>
      <t xml:space="preserve">PERSONAS DE COLECTIVOS VULNERABLE 
</t>
    </r>
    <r>
      <rPr>
        <sz val="16"/>
        <color theme="1"/>
        <rFont val="Calibri"/>
        <family val="2"/>
        <scheme val="minor"/>
      </rPr>
      <t xml:space="preserve">- personas desempleadas de larga duración
- personas con discapacidad
- personas en situación o riesgo de exclusión social </t>
    </r>
    <r>
      <rPr>
        <sz val="18"/>
        <color theme="1"/>
        <rFont val="Calibri"/>
        <family val="2"/>
        <scheme val="minor"/>
      </rPr>
      <t xml:space="preserve">
</t>
    </r>
    <r>
      <rPr>
        <sz val="16"/>
        <color theme="1"/>
        <rFont val="Calibri"/>
        <family val="2"/>
        <scheme val="minor"/>
      </rPr>
      <t>- personas perceptoras de Renta Garantizada o 
   Ingreso Mínimo Vital 
- personas víctimas de violencia de género</t>
    </r>
  </si>
  <si>
    <t xml:space="preserve">Beneficiaria anterior </t>
  </si>
  <si>
    <t xml:space="preserve">Indicadores </t>
  </si>
  <si>
    <t xml:space="preserve">sociodemográficos </t>
  </si>
  <si>
    <t>y de empleo</t>
  </si>
  <si>
    <t>naturales</t>
  </si>
  <si>
    <r>
      <t xml:space="preserve">Nº y tipo de puestos de trabajo
</t>
    </r>
    <r>
      <rPr>
        <b/>
        <sz val="14"/>
        <color theme="1"/>
        <rFont val="Calibri"/>
        <family val="2"/>
        <scheme val="minor"/>
      </rPr>
      <t>Indicar Nº de empleos que se compromete a crear</t>
    </r>
    <r>
      <rPr>
        <sz val="14"/>
        <color theme="1"/>
        <rFont val="Calibri"/>
        <family val="2"/>
        <scheme val="minor"/>
      </rPr>
      <t xml:space="preserve"> durante la ejecución del proyecto y que se justificarán en pago. Se computan en equivalencia a tiempo completo (ETC) anual, para ello la duración del contrato debe ser al menos 1 año y mantenerlo 3 años desde el cobro.  Penalización por incumplimiento.</t>
    </r>
  </si>
  <si>
    <r>
      <t xml:space="preserve">Mantenimiento de los puestos de trabajo ya existentes
</t>
    </r>
    <r>
      <rPr>
        <sz val="14"/>
        <color theme="1"/>
        <rFont val="Calibri"/>
        <family val="2"/>
        <scheme val="minor"/>
      </rPr>
      <t>Se contabilizarán en equivalencia a tiempo completo (ETC), la duración del contrato debe de ser de al menos 1 año.</t>
    </r>
  </si>
  <si>
    <t xml:space="preserve">Adhesión a asociación u organización relacionada con el proyecto </t>
  </si>
  <si>
    <r>
      <t>Forma jurídica con caracter asociativo y de economía social
(</t>
    </r>
    <r>
      <rPr>
        <sz val="14"/>
        <color theme="1"/>
        <rFont val="Calibri"/>
        <family val="2"/>
        <scheme val="minor"/>
      </rPr>
      <t>Empresa de Economía Social, SAT, cooperativa, Sociedad Laboral, empresas de inserción sociolaboral o centros especiales de empleo)</t>
    </r>
  </si>
  <si>
    <t>Difusión del proyecto en un medio de prensa local o comarcal</t>
  </si>
  <si>
    <r>
      <t xml:space="preserve">Se considera </t>
    </r>
    <r>
      <rPr>
        <b/>
        <sz val="18"/>
        <color theme="1"/>
        <rFont val="Calibri"/>
        <family val="2"/>
        <scheme val="minor"/>
      </rPr>
      <t>innovación digital</t>
    </r>
    <r>
      <rPr>
        <sz val="18"/>
        <color theme="1"/>
        <rFont val="Calibri"/>
        <family val="2"/>
        <scheme val="minor"/>
      </rPr>
      <t xml:space="preserve"> a las soluciones implementadas mediante las acciones del  proyecto que reviertan en:
-  </t>
    </r>
    <r>
      <rPr>
        <u/>
        <sz val="18"/>
        <color theme="1"/>
        <rFont val="Calibri"/>
        <family val="2"/>
        <scheme val="minor"/>
      </rPr>
      <t>Innovación de procesos</t>
    </r>
    <r>
      <rPr>
        <sz val="18"/>
        <color theme="1"/>
        <rFont val="Calibri"/>
        <family val="2"/>
        <scheme val="minor"/>
      </rPr>
      <t xml:space="preserve"> (introducción de un método de producción o de distribución nuevo o significativamente mejorado. Incluye mejoras significativas en técnicas, equipo o software).
- </t>
    </r>
    <r>
      <rPr>
        <u/>
        <sz val="18"/>
        <color theme="1"/>
        <rFont val="Calibri"/>
        <family val="2"/>
        <scheme val="minor"/>
      </rPr>
      <t>Innovación de productos o servicios</t>
    </r>
    <r>
      <rPr>
        <sz val="18"/>
        <color theme="1"/>
        <rFont val="Calibri"/>
        <family val="2"/>
        <scheme val="minor"/>
      </rPr>
      <t xml:space="preserve"> (introducción de un bien o servicio nuevo o significativamente mejorado en sus características o en sus usos posibles. Incluye mejoras significativas en las especificaciones técnicas, los componentes o materiales, el software incorporado, la ergonomía u otras características funcionales. Las innovaciones en servicios pueden incluir mejoras significativas en las operaciones de suministro, la adición de nuevas funciones o características a servicios existentes o la introducción de servicios completamente nuevos).</t>
    </r>
  </si>
  <si>
    <r>
      <rPr>
        <b/>
        <sz val="18"/>
        <color theme="1"/>
        <rFont val="Calibri"/>
        <family val="2"/>
        <scheme val="minor"/>
      </rPr>
      <t>Transformación digital</t>
    </r>
    <r>
      <rPr>
        <sz val="18"/>
        <color theme="1"/>
        <rFont val="Calibri"/>
        <family val="2"/>
        <scheme val="minor"/>
      </rPr>
      <t>, que podrá consistir en la integración y aplicación de las nuevas tecnologías en las entidades para optimizar procedimientos, mejorar el desempeño de sus funciones, mejorar la calidad del servicio al cliente, reducir costes o mejorar su competitividad mediante: big data, inteligencia artificial, nuevas tecnologías computacionales, software avanzado...</t>
    </r>
  </si>
  <si>
    <t>inversiones y/o soluciones innovadoras que repercutan directamente en uso eficiente de recursos (aguas, suelo, y aire)</t>
  </si>
  <si>
    <t>inversiones y/o soluciones innovadoras que repercutan directamente en empleo de subproductos</t>
  </si>
  <si>
    <t>inversiones y/o soluciones innovadoras que repercutan directamente en conservación de la naturaleza</t>
  </si>
  <si>
    <t>inversiones y/o soluciones innovadoras que repercutan directamente en educación ambiental</t>
  </si>
  <si>
    <t>Inversiones y/o instalaciones y uso y/o generación de energía renovable (biomasa, eólica, solar, geotérmica, o aerotermia)</t>
  </si>
  <si>
    <t xml:space="preserve">Fomento del estilo de vida saludable </t>
  </si>
  <si>
    <t>Si el objetivo fundamental del proyecto es promover un estilo de vida saludable relacionado con una alimentación saludable</t>
  </si>
  <si>
    <t>Si el objetivo fundamental del proyecto es promover un estilo de vida saludable relacionado con la actividad física</t>
  </si>
  <si>
    <t xml:space="preserve">Si el objetivo fundamental del proyecto es promover un estilo de vida saludable relacionado con el bienestar emocional </t>
  </si>
  <si>
    <t>Si el objetivo fundamental del proyecto es promover un estilo de vida saludable relacionado con la prevención</t>
  </si>
  <si>
    <r>
      <t xml:space="preserve">Innovación y emprendimiento social:
</t>
    </r>
    <r>
      <rPr>
        <sz val="16"/>
        <color theme="1"/>
        <rFont val="Calibri"/>
        <family val="2"/>
        <scheme val="minor"/>
      </rPr>
      <t>Proyectos que aporten soluciones a  problemas sociales de forma más eficaz y eficiente que las alternativas actuales, y aquellos cuyo objetivo final no es la maximización del beneficio económico, sino  la creación de valor para la sociedad</t>
    </r>
  </si>
  <si>
    <t>Acciones complementarias relacionadas con las temáticas anteriores</t>
  </si>
  <si>
    <t>Si además incluye acciones de divulgación</t>
  </si>
  <si>
    <t>En ____________ a ____ de _____________________________ de 2024</t>
  </si>
  <si>
    <t>San Adrián</t>
  </si>
  <si>
    <t>NO vulnerable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</si>
</sst>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3F3F3F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1"/>
      <color rgb="FF000080"/>
      <name val="Arial"/>
      <family val="2"/>
    </font>
    <font>
      <b/>
      <sz val="22"/>
      <color rgb="FF000080"/>
      <name val="Arial"/>
      <family val="2"/>
    </font>
    <font>
      <b/>
      <i/>
      <sz val="18"/>
      <color rgb="FF000080"/>
      <name val="Arial"/>
      <family val="2"/>
    </font>
    <font>
      <b/>
      <sz val="22"/>
      <color theme="1"/>
      <name val="Calibri"/>
      <family val="2"/>
      <scheme val="minor"/>
    </font>
    <font>
      <b/>
      <sz val="18"/>
      <color rgb="FF00008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8"/>
      <color rgb="FF000080"/>
      <name val="Arial"/>
      <family val="2"/>
    </font>
    <font>
      <sz val="18"/>
      <color theme="1"/>
      <name val="Agency FB"/>
      <family val="2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6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8"/>
      <color theme="1"/>
      <name val="Calibri"/>
      <family val="2"/>
    </font>
    <font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8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indexed="63"/>
      <name val="Arial"/>
      <family val="2"/>
    </font>
    <font>
      <sz val="11"/>
      <color theme="1"/>
      <name val="Calibri"/>
      <family val="2"/>
    </font>
    <font>
      <b/>
      <sz val="16"/>
      <color theme="1"/>
      <name val="Arial"/>
      <family val="2"/>
    </font>
    <font>
      <u/>
      <sz val="1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7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2" borderId="1" applyNumberFormat="0" applyAlignment="0" applyProtection="0"/>
  </cellStyleXfs>
  <cellXfs count="401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vertical="center" textRotation="90" wrapText="1"/>
    </xf>
    <xf numFmtId="0" fontId="16" fillId="0" borderId="24" xfId="0" applyFont="1" applyBorder="1" applyAlignment="1">
      <alignment horizontal="right" vertical="center" wrapText="1"/>
    </xf>
    <xf numFmtId="0" fontId="16" fillId="0" borderId="35" xfId="0" applyFont="1" applyBorder="1" applyAlignment="1">
      <alignment vertical="center" wrapText="1"/>
    </xf>
    <xf numFmtId="0" fontId="16" fillId="0" borderId="38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6" fillId="6" borderId="38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6" fillId="0" borderId="27" xfId="0" applyFont="1" applyBorder="1" applyAlignment="1">
      <alignment vertical="center" wrapText="1"/>
    </xf>
    <xf numFmtId="2" fontId="6" fillId="5" borderId="46" xfId="0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6" fillId="6" borderId="27" xfId="0" applyFont="1" applyFill="1" applyBorder="1" applyAlignment="1">
      <alignment horizontal="right" vertical="center" wrapText="1"/>
    </xf>
    <xf numFmtId="2" fontId="16" fillId="6" borderId="27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16" fillId="6" borderId="47" xfId="0" applyFont="1" applyFill="1" applyBorder="1" applyAlignment="1">
      <alignment horizontal="right" vertical="center" wrapText="1"/>
    </xf>
    <xf numFmtId="2" fontId="16" fillId="6" borderId="27" xfId="0" applyNumberFormat="1" applyFont="1" applyFill="1" applyBorder="1" applyAlignment="1">
      <alignment horizontal="center" vertical="center" wrapText="1"/>
    </xf>
    <xf numFmtId="2" fontId="16" fillId="6" borderId="44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6" fillId="0" borderId="31" xfId="0" applyFont="1" applyBorder="1" applyAlignment="1">
      <alignment vertical="center" wrapText="1"/>
    </xf>
    <xf numFmtId="2" fontId="6" fillId="5" borderId="31" xfId="0" applyNumberFormat="1" applyFont="1" applyFill="1" applyBorder="1" applyAlignment="1">
      <alignment horizontal="center" vertical="center" wrapText="1"/>
    </xf>
    <xf numFmtId="0" fontId="6" fillId="3" borderId="27" xfId="0" applyFont="1" applyFill="1" applyBorder="1" applyAlignment="1" applyProtection="1">
      <alignment vertical="center" wrapText="1"/>
      <protection locked="0"/>
    </xf>
    <xf numFmtId="2" fontId="6" fillId="5" borderId="27" xfId="0" applyNumberFormat="1" applyFont="1" applyFill="1" applyBorder="1" applyAlignment="1">
      <alignment horizontal="center" vertical="center" wrapText="1"/>
    </xf>
    <xf numFmtId="0" fontId="16" fillId="6" borderId="46" xfId="0" applyFont="1" applyFill="1" applyBorder="1" applyAlignment="1">
      <alignment vertical="center" wrapText="1"/>
    </xf>
    <xf numFmtId="0" fontId="6" fillId="3" borderId="27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>
      <alignment vertical="center" wrapText="1"/>
    </xf>
    <xf numFmtId="2" fontId="24" fillId="7" borderId="38" xfId="0" applyNumberFormat="1" applyFont="1" applyFill="1" applyBorder="1" applyAlignment="1">
      <alignment horizontal="center" vertical="center" wrapText="1"/>
    </xf>
    <xf numFmtId="2" fontId="25" fillId="0" borderId="0" xfId="0" applyNumberFormat="1" applyFont="1" applyAlignment="1">
      <alignment vertical="center" wrapText="1"/>
    </xf>
    <xf numFmtId="0" fontId="26" fillId="0" borderId="46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27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vertical="center" wrapText="1"/>
    </xf>
    <xf numFmtId="0" fontId="6" fillId="0" borderId="57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2" fontId="6" fillId="0" borderId="27" xfId="0" applyNumberFormat="1" applyFont="1" applyBorder="1" applyAlignment="1">
      <alignment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2" fontId="6" fillId="0" borderId="0" xfId="0" applyNumberFormat="1" applyFont="1" applyAlignment="1">
      <alignment horizontal="center" vertical="center" wrapText="1"/>
    </xf>
    <xf numFmtId="0" fontId="6" fillId="0" borderId="46" xfId="0" applyFont="1" applyBorder="1" applyAlignment="1">
      <alignment vertical="center" wrapText="1"/>
    </xf>
    <xf numFmtId="2" fontId="16" fillId="0" borderId="0" xfId="0" applyNumberFormat="1" applyFont="1" applyAlignment="1">
      <alignment horizontal="center" vertical="center" wrapText="1"/>
    </xf>
    <xf numFmtId="0" fontId="6" fillId="0" borderId="58" xfId="0" applyFont="1" applyBorder="1" applyAlignment="1">
      <alignment vertical="center" wrapText="1"/>
    </xf>
    <xf numFmtId="2" fontId="6" fillId="0" borderId="58" xfId="0" applyNumberFormat="1" applyFont="1" applyBorder="1" applyAlignment="1">
      <alignment vertical="center" wrapText="1"/>
    </xf>
    <xf numFmtId="2" fontId="6" fillId="0" borderId="46" xfId="0" applyNumberFormat="1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2" fontId="6" fillId="0" borderId="27" xfId="0" applyNumberFormat="1" applyFont="1" applyBorder="1" applyAlignment="1">
      <alignment horizontal="center" vertical="center" wrapText="1"/>
    </xf>
    <xf numFmtId="2" fontId="16" fillId="5" borderId="44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2" fontId="24" fillId="8" borderId="38" xfId="0" applyNumberFormat="1" applyFont="1" applyFill="1" applyBorder="1" applyAlignment="1">
      <alignment horizontal="center" vertical="center" wrapText="1"/>
    </xf>
    <xf numFmtId="0" fontId="5" fillId="0" borderId="36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39" xfId="0" applyFont="1" applyBorder="1" applyAlignment="1">
      <alignment vertical="center" wrapText="1"/>
    </xf>
    <xf numFmtId="0" fontId="16" fillId="0" borderId="52" xfId="0" applyFont="1" applyBorder="1" applyAlignment="1">
      <alignment vertical="center" wrapText="1"/>
    </xf>
    <xf numFmtId="2" fontId="6" fillId="5" borderId="44" xfId="0" applyNumberFormat="1" applyFont="1" applyFill="1" applyBorder="1" applyAlignment="1">
      <alignment horizontal="center" vertical="center" wrapText="1"/>
    </xf>
    <xf numFmtId="2" fontId="6" fillId="0" borderId="45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0" fontId="16" fillId="0" borderId="45" xfId="0" applyFont="1" applyBorder="1" applyAlignment="1">
      <alignment vertical="center" wrapText="1"/>
    </xf>
    <xf numFmtId="2" fontId="16" fillId="0" borderId="45" xfId="0" applyNumberFormat="1" applyFont="1" applyBorder="1" applyAlignment="1">
      <alignment vertical="center" wrapText="1"/>
    </xf>
    <xf numFmtId="2" fontId="16" fillId="0" borderId="7" xfId="0" applyNumberFormat="1" applyFont="1" applyBorder="1" applyAlignment="1">
      <alignment vertical="center" wrapText="1"/>
    </xf>
    <xf numFmtId="2" fontId="6" fillId="5" borderId="47" xfId="0" applyNumberFormat="1" applyFont="1" applyFill="1" applyBorder="1" applyAlignment="1">
      <alignment horizontal="center" vertical="center" wrapText="1"/>
    </xf>
    <xf numFmtId="0" fontId="16" fillId="5" borderId="27" xfId="0" applyFont="1" applyFill="1" applyBorder="1" applyAlignment="1">
      <alignment horizontal="right" vertical="center" wrapText="1"/>
    </xf>
    <xf numFmtId="0" fontId="23" fillId="0" borderId="27" xfId="0" applyFont="1" applyBorder="1" applyAlignment="1">
      <alignment vertical="center" wrapText="1"/>
    </xf>
    <xf numFmtId="2" fontId="16" fillId="5" borderId="27" xfId="0" applyNumberFormat="1" applyFont="1" applyFill="1" applyBorder="1" applyAlignment="1">
      <alignment vertical="center" wrapText="1"/>
    </xf>
    <xf numFmtId="0" fontId="6" fillId="0" borderId="27" xfId="0" applyFont="1" applyBorder="1" applyAlignment="1">
      <alignment wrapText="1"/>
    </xf>
    <xf numFmtId="2" fontId="16" fillId="0" borderId="41" xfId="0" applyNumberFormat="1" applyFont="1" applyBorder="1" applyAlignment="1">
      <alignment vertical="center" wrapText="1"/>
    </xf>
    <xf numFmtId="2" fontId="16" fillId="0" borderId="0" xfId="0" applyNumberFormat="1" applyFont="1" applyAlignment="1">
      <alignment vertical="center" wrapText="1"/>
    </xf>
    <xf numFmtId="0" fontId="16" fillId="5" borderId="17" xfId="0" applyFont="1" applyFill="1" applyBorder="1" applyAlignment="1">
      <alignment horizontal="right" vertical="center" wrapText="1"/>
    </xf>
    <xf numFmtId="2" fontId="16" fillId="5" borderId="17" xfId="0" applyNumberFormat="1" applyFont="1" applyFill="1" applyBorder="1" applyAlignment="1">
      <alignment vertical="center" wrapText="1"/>
    </xf>
    <xf numFmtId="2" fontId="16" fillId="5" borderId="18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2" fontId="16" fillId="0" borderId="10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2" fontId="24" fillId="9" borderId="38" xfId="0" applyNumberFormat="1" applyFont="1" applyFill="1" applyBorder="1" applyAlignment="1">
      <alignment horizontal="center" vertical="center" wrapText="1"/>
    </xf>
    <xf numFmtId="0" fontId="16" fillId="0" borderId="59" xfId="0" applyFont="1" applyBorder="1" applyAlignment="1">
      <alignment vertical="center" wrapText="1"/>
    </xf>
    <xf numFmtId="0" fontId="16" fillId="0" borderId="58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center" vertical="center" wrapText="1"/>
    </xf>
    <xf numFmtId="1" fontId="16" fillId="5" borderId="27" xfId="0" applyNumberFormat="1" applyFont="1" applyFill="1" applyBorder="1" applyAlignment="1">
      <alignment vertical="center" wrapText="1"/>
    </xf>
    <xf numFmtId="0" fontId="16" fillId="6" borderId="44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6" fillId="0" borderId="0" xfId="0" applyFont="1"/>
    <xf numFmtId="0" fontId="16" fillId="6" borderId="27" xfId="0" applyFont="1" applyFill="1" applyBorder="1" applyAlignment="1">
      <alignment vertical="center" wrapText="1"/>
    </xf>
    <xf numFmtId="0" fontId="16" fillId="0" borderId="48" xfId="0" applyFont="1" applyBorder="1" applyAlignment="1">
      <alignment vertical="center" wrapText="1"/>
    </xf>
    <xf numFmtId="0" fontId="6" fillId="0" borderId="51" xfId="0" applyFont="1" applyBorder="1" applyAlignment="1">
      <alignment vertical="center" wrapText="1"/>
    </xf>
    <xf numFmtId="0" fontId="16" fillId="0" borderId="58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0" fontId="16" fillId="0" borderId="61" xfId="0" applyFont="1" applyBorder="1" applyAlignment="1">
      <alignment vertical="center" wrapText="1"/>
    </xf>
    <xf numFmtId="0" fontId="16" fillId="6" borderId="45" xfId="0" applyFont="1" applyFill="1" applyBorder="1" applyAlignment="1">
      <alignment vertical="center" wrapText="1"/>
    </xf>
    <xf numFmtId="0" fontId="6" fillId="0" borderId="23" xfId="0" applyFont="1" applyBorder="1" applyAlignment="1">
      <alignment horizontal="center" vertical="center" wrapText="1"/>
    </xf>
    <xf numFmtId="0" fontId="16" fillId="6" borderId="47" xfId="0" applyFont="1" applyFill="1" applyBorder="1" applyAlignment="1">
      <alignment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5" borderId="47" xfId="0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vertical="center" wrapText="1"/>
    </xf>
    <xf numFmtId="0" fontId="16" fillId="0" borderId="49" xfId="0" applyFont="1" applyBorder="1" applyAlignment="1">
      <alignment vertical="center" wrapText="1"/>
    </xf>
    <xf numFmtId="0" fontId="16" fillId="5" borderId="44" xfId="0" applyFont="1" applyFill="1" applyBorder="1" applyAlignment="1">
      <alignment horizontal="center" vertical="center" wrapText="1"/>
    </xf>
    <xf numFmtId="0" fontId="16" fillId="0" borderId="6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2" fontId="24" fillId="10" borderId="38" xfId="0" applyNumberFormat="1" applyFont="1" applyFill="1" applyBorder="1" applyAlignment="1">
      <alignment horizontal="center" vertical="center" wrapText="1"/>
    </xf>
    <xf numFmtId="2" fontId="10" fillId="12" borderId="38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32" fillId="0" borderId="27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0" fontId="33" fillId="0" borderId="27" xfId="0" applyFont="1" applyBorder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14" fontId="0" fillId="0" borderId="0" xfId="0" applyNumberFormat="1"/>
    <xf numFmtId="2" fontId="2" fillId="0" borderId="0" xfId="0" applyNumberFormat="1" applyFont="1"/>
    <xf numFmtId="2" fontId="0" fillId="0" borderId="0" xfId="1" applyNumberFormat="1" applyFont="1" applyBorder="1"/>
    <xf numFmtId="0" fontId="2" fillId="0" borderId="0" xfId="0" applyFont="1"/>
    <xf numFmtId="2" fontId="0" fillId="5" borderId="52" xfId="0" applyNumberFormat="1" applyFill="1" applyBorder="1" applyAlignment="1">
      <alignment horizontal="center"/>
    </xf>
    <xf numFmtId="2" fontId="0" fillId="5" borderId="37" xfId="0" applyNumberFormat="1" applyFill="1" applyBorder="1" applyAlignment="1">
      <alignment horizontal="center"/>
    </xf>
    <xf numFmtId="2" fontId="36" fillId="0" borderId="0" xfId="1" applyNumberFormat="1" applyFont="1" applyFill="1" applyBorder="1" applyAlignment="1">
      <alignment horizontal="center" vertical="center" textRotation="90" wrapText="1"/>
    </xf>
    <xf numFmtId="0" fontId="36" fillId="0" borderId="0" xfId="0" applyFont="1" applyAlignment="1">
      <alignment horizontal="center" vertical="center" textRotation="90" wrapText="1"/>
    </xf>
    <xf numFmtId="0" fontId="0" fillId="0" borderId="0" xfId="0" applyAlignment="1">
      <alignment textRotation="90"/>
    </xf>
    <xf numFmtId="2" fontId="0" fillId="0" borderId="0" xfId="1" applyNumberFormat="1" applyFont="1" applyFill="1" applyBorder="1" applyAlignment="1">
      <alignment vertical="center" wrapText="1"/>
    </xf>
    <xf numFmtId="2" fontId="2" fillId="0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6" fillId="5" borderId="30" xfId="0" applyFont="1" applyFill="1" applyBorder="1" applyAlignment="1">
      <alignment horizontal="center" vertical="center" textRotation="90" wrapText="1"/>
    </xf>
    <xf numFmtId="2" fontId="36" fillId="5" borderId="30" xfId="0" applyNumberFormat="1" applyFont="1" applyFill="1" applyBorder="1" applyAlignment="1">
      <alignment horizontal="center" vertical="center" textRotation="90" wrapText="1"/>
    </xf>
    <xf numFmtId="164" fontId="36" fillId="5" borderId="34" xfId="0" applyNumberFormat="1" applyFont="1" applyFill="1" applyBorder="1" applyAlignment="1">
      <alignment horizontal="center" vertical="center" textRotation="90" wrapText="1"/>
    </xf>
    <xf numFmtId="2" fontId="36" fillId="5" borderId="16" xfId="0" applyNumberFormat="1" applyFont="1" applyFill="1" applyBorder="1" applyAlignment="1">
      <alignment horizontal="center" vertical="center" textRotation="90" wrapText="1"/>
    </xf>
    <xf numFmtId="2" fontId="36" fillId="5" borderId="67" xfId="0" applyNumberFormat="1" applyFont="1" applyFill="1" applyBorder="1" applyAlignment="1">
      <alignment horizontal="center" vertical="center" textRotation="90" wrapText="1"/>
    </xf>
    <xf numFmtId="2" fontId="36" fillId="5" borderId="68" xfId="0" applyNumberFormat="1" applyFont="1" applyFill="1" applyBorder="1" applyAlignment="1">
      <alignment horizontal="center" vertical="center" textRotation="90" wrapText="1"/>
    </xf>
    <xf numFmtId="10" fontId="36" fillId="5" borderId="30" xfId="1" applyNumberFormat="1" applyFont="1" applyFill="1" applyBorder="1" applyAlignment="1">
      <alignment horizontal="center" vertical="center" textRotation="90" wrapText="1"/>
    </xf>
    <xf numFmtId="10" fontId="36" fillId="5" borderId="34" xfId="1" applyNumberFormat="1" applyFont="1" applyFill="1" applyBorder="1" applyAlignment="1">
      <alignment horizontal="center" vertical="center" textRotation="90" wrapText="1"/>
    </xf>
    <xf numFmtId="10" fontId="36" fillId="5" borderId="67" xfId="1" applyNumberFormat="1" applyFont="1" applyFill="1" applyBorder="1" applyAlignment="1">
      <alignment horizontal="center" vertical="center" textRotation="90" wrapText="1"/>
    </xf>
    <xf numFmtId="2" fontId="36" fillId="5" borderId="69" xfId="0" applyNumberFormat="1" applyFont="1" applyFill="1" applyBorder="1" applyAlignment="1">
      <alignment horizontal="center" vertical="center" textRotation="90" wrapText="1"/>
    </xf>
    <xf numFmtId="2" fontId="0" fillId="0" borderId="0" xfId="1" applyNumberFormat="1" applyFont="1" applyFill="1" applyBorder="1"/>
    <xf numFmtId="2" fontId="2" fillId="0" borderId="0" xfId="1" applyNumberFormat="1" applyFont="1" applyFill="1" applyBorder="1" applyAlignment="1">
      <alignment horizontal="center"/>
    </xf>
    <xf numFmtId="0" fontId="0" fillId="0" borderId="54" xfId="0" applyBorder="1"/>
    <xf numFmtId="0" fontId="0" fillId="0" borderId="31" xfId="0" applyBorder="1"/>
    <xf numFmtId="2" fontId="0" fillId="0" borderId="31" xfId="0" applyNumberFormat="1" applyBorder="1"/>
    <xf numFmtId="164" fontId="0" fillId="0" borderId="31" xfId="0" applyNumberFormat="1" applyBorder="1"/>
    <xf numFmtId="10" fontId="0" fillId="0" borderId="31" xfId="1" applyNumberFormat="1" applyFont="1" applyBorder="1"/>
    <xf numFmtId="2" fontId="2" fillId="0" borderId="62" xfId="0" applyNumberFormat="1" applyFont="1" applyBorder="1" applyAlignment="1">
      <alignment horizontal="center" vertical="center"/>
    </xf>
    <xf numFmtId="2" fontId="0" fillId="0" borderId="0" xfId="0" applyNumberFormat="1"/>
    <xf numFmtId="0" fontId="0" fillId="0" borderId="43" xfId="0" applyBorder="1"/>
    <xf numFmtId="0" fontId="0" fillId="0" borderId="27" xfId="0" applyBorder="1"/>
    <xf numFmtId="2" fontId="0" fillId="0" borderId="27" xfId="0" applyNumberFormat="1" applyBorder="1"/>
    <xf numFmtId="164" fontId="0" fillId="0" borderId="27" xfId="0" applyNumberFormat="1" applyBorder="1"/>
    <xf numFmtId="10" fontId="0" fillId="0" borderId="27" xfId="1" applyNumberFormat="1" applyFont="1" applyBorder="1"/>
    <xf numFmtId="2" fontId="2" fillId="0" borderId="44" xfId="0" applyNumberFormat="1" applyFont="1" applyBorder="1" applyAlignment="1">
      <alignment horizontal="center" vertical="center"/>
    </xf>
    <xf numFmtId="0" fontId="0" fillId="0" borderId="15" xfId="0" applyBorder="1"/>
    <xf numFmtId="0" fontId="0" fillId="0" borderId="17" xfId="0" applyBorder="1"/>
    <xf numFmtId="2" fontId="0" fillId="0" borderId="17" xfId="0" applyNumberFormat="1" applyBorder="1"/>
    <xf numFmtId="164" fontId="0" fillId="0" borderId="17" xfId="0" applyNumberFormat="1" applyBorder="1"/>
    <xf numFmtId="10" fontId="0" fillId="0" borderId="17" xfId="1" applyNumberFormat="1" applyFont="1" applyBorder="1"/>
    <xf numFmtId="2" fontId="2" fillId="0" borderId="18" xfId="0" applyNumberFormat="1" applyFont="1" applyBorder="1" applyAlignment="1">
      <alignment horizontal="center" vertical="center"/>
    </xf>
    <xf numFmtId="1" fontId="18" fillId="0" borderId="22" xfId="0" applyNumberFormat="1" applyFont="1" applyBorder="1" applyAlignment="1">
      <alignment vertical="center"/>
    </xf>
    <xf numFmtId="3" fontId="37" fillId="0" borderId="28" xfId="0" applyNumberFormat="1" applyFont="1" applyBorder="1" applyAlignment="1">
      <alignment vertical="center"/>
    </xf>
    <xf numFmtId="2" fontId="18" fillId="3" borderId="0" xfId="0" applyNumberFormat="1" applyFont="1" applyFill="1"/>
    <xf numFmtId="3" fontId="37" fillId="3" borderId="28" xfId="0" applyNumberFormat="1" applyFont="1" applyFill="1" applyBorder="1" applyAlignment="1">
      <alignment vertical="center"/>
    </xf>
    <xf numFmtId="2" fontId="18" fillId="0" borderId="0" xfId="0" applyNumberFormat="1" applyFont="1"/>
    <xf numFmtId="0" fontId="2" fillId="0" borderId="67" xfId="0" applyFont="1" applyBorder="1"/>
    <xf numFmtId="0" fontId="2" fillId="0" borderId="68" xfId="0" applyFont="1" applyBorder="1"/>
    <xf numFmtId="0" fontId="2" fillId="0" borderId="69" xfId="0" applyFont="1" applyBorder="1"/>
    <xf numFmtId="2" fontId="2" fillId="0" borderId="0" xfId="0" applyNumberFormat="1" applyFont="1" applyAlignment="1">
      <alignment vertical="center" wrapText="1"/>
    </xf>
    <xf numFmtId="0" fontId="0" fillId="0" borderId="14" xfId="0" applyBorder="1"/>
    <xf numFmtId="0" fontId="0" fillId="0" borderId="44" xfId="0" applyBorder="1"/>
    <xf numFmtId="0" fontId="38" fillId="0" borderId="0" xfId="0" applyFont="1"/>
    <xf numFmtId="0" fontId="0" fillId="0" borderId="18" xfId="0" applyBorder="1"/>
    <xf numFmtId="0" fontId="0" fillId="0" borderId="62" xfId="0" applyBorder="1"/>
    <xf numFmtId="0" fontId="2" fillId="0" borderId="19" xfId="0" applyFont="1" applyBorder="1"/>
    <xf numFmtId="0" fontId="2" fillId="0" borderId="12" xfId="0" applyFont="1" applyBorder="1"/>
    <xf numFmtId="0" fontId="2" fillId="0" borderId="20" xfId="0" applyFont="1" applyBorder="1"/>
    <xf numFmtId="0" fontId="0" fillId="0" borderId="13" xfId="0" applyBorder="1"/>
    <xf numFmtId="0" fontId="0" fillId="0" borderId="33" xfId="0" applyBorder="1"/>
    <xf numFmtId="0" fontId="0" fillId="0" borderId="29" xfId="0" applyBorder="1"/>
    <xf numFmtId="0" fontId="16" fillId="0" borderId="47" xfId="0" applyFont="1" applyBorder="1" applyAlignment="1">
      <alignment vertical="center" wrapText="1"/>
    </xf>
    <xf numFmtId="0" fontId="31" fillId="12" borderId="36" xfId="0" applyFont="1" applyFill="1" applyBorder="1" applyAlignment="1">
      <alignment horizontal="center" vertical="center" wrapText="1"/>
    </xf>
    <xf numFmtId="0" fontId="31" fillId="12" borderId="37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31" fillId="11" borderId="36" xfId="0" applyFont="1" applyFill="1" applyBorder="1" applyAlignment="1">
      <alignment horizontal="center" vertical="center" wrapText="1"/>
    </xf>
    <xf numFmtId="0" fontId="31" fillId="11" borderId="37" xfId="0" applyFont="1" applyFill="1" applyBorder="1" applyAlignment="1">
      <alignment horizontal="center" vertical="center" wrapText="1"/>
    </xf>
    <xf numFmtId="0" fontId="24" fillId="7" borderId="36" xfId="0" applyFont="1" applyFill="1" applyBorder="1" applyAlignment="1">
      <alignment horizontal="center" vertical="center" wrapText="1"/>
    </xf>
    <xf numFmtId="0" fontId="24" fillId="7" borderId="37" xfId="0" applyFont="1" applyFill="1" applyBorder="1" applyAlignment="1">
      <alignment horizontal="center" vertical="center" wrapText="1"/>
    </xf>
    <xf numFmtId="0" fontId="24" fillId="8" borderId="36" xfId="0" applyFont="1" applyFill="1" applyBorder="1" applyAlignment="1">
      <alignment horizontal="center" vertical="center" wrapText="1"/>
    </xf>
    <xf numFmtId="0" fontId="24" fillId="8" borderId="37" xfId="0" applyFont="1" applyFill="1" applyBorder="1" applyAlignment="1">
      <alignment horizontal="center" vertical="center" wrapText="1"/>
    </xf>
    <xf numFmtId="0" fontId="24" fillId="9" borderId="36" xfId="0" applyFont="1" applyFill="1" applyBorder="1" applyAlignment="1">
      <alignment horizontal="center" vertical="center" wrapText="1"/>
    </xf>
    <xf numFmtId="0" fontId="24" fillId="9" borderId="37" xfId="0" applyFont="1" applyFill="1" applyBorder="1" applyAlignment="1">
      <alignment horizontal="center" vertical="center" wrapText="1"/>
    </xf>
    <xf numFmtId="0" fontId="24" fillId="10" borderId="36" xfId="0" applyFont="1" applyFill="1" applyBorder="1" applyAlignment="1">
      <alignment horizontal="center" vertical="center" wrapText="1"/>
    </xf>
    <xf numFmtId="0" fontId="24" fillId="10" borderId="3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6" xfId="0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19" fillId="10" borderId="36" xfId="0" applyFont="1" applyFill="1" applyBorder="1" applyAlignment="1">
      <alignment horizontal="center" vertical="center" wrapText="1"/>
    </xf>
    <xf numFmtId="0" fontId="19" fillId="10" borderId="37" xfId="0" applyFont="1" applyFill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19" fillId="9" borderId="36" xfId="0" applyFont="1" applyFill="1" applyBorder="1" applyAlignment="1">
      <alignment horizontal="center" vertical="center" wrapText="1"/>
    </xf>
    <xf numFmtId="0" fontId="19" fillId="9" borderId="37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16" fillId="6" borderId="45" xfId="0" applyFont="1" applyFill="1" applyBorder="1" applyAlignment="1">
      <alignment horizontal="center" vertical="center" wrapText="1"/>
    </xf>
    <xf numFmtId="0" fontId="16" fillId="6" borderId="46" xfId="0" applyFont="1" applyFill="1" applyBorder="1" applyAlignment="1">
      <alignment horizontal="center" vertical="center" wrapText="1"/>
    </xf>
    <xf numFmtId="0" fontId="19" fillId="8" borderId="36" xfId="0" applyFont="1" applyFill="1" applyBorder="1" applyAlignment="1">
      <alignment horizontal="center" vertical="center" wrapText="1"/>
    </xf>
    <xf numFmtId="0" fontId="19" fillId="8" borderId="37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19" fillId="7" borderId="36" xfId="0" applyFont="1" applyFill="1" applyBorder="1" applyAlignment="1">
      <alignment horizontal="center" vertical="center" wrapText="1"/>
    </xf>
    <xf numFmtId="0" fontId="19" fillId="7" borderId="37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6" fillId="6" borderId="27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  <protection locked="0"/>
    </xf>
    <xf numFmtId="0" fontId="6" fillId="3" borderId="48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39" fillId="3" borderId="0" xfId="0" applyFont="1" applyFill="1" applyAlignment="1">
      <alignment vertic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19" fillId="7" borderId="35" xfId="0" applyFont="1" applyFill="1" applyBorder="1" applyAlignment="1">
      <alignment horizontal="left" vertical="center"/>
    </xf>
    <xf numFmtId="0" fontId="6" fillId="3" borderId="47" xfId="0" applyFont="1" applyFill="1" applyBorder="1" applyAlignment="1" applyProtection="1">
      <alignment horizontal="left" vertical="center" wrapText="1"/>
      <protection locked="0"/>
    </xf>
    <xf numFmtId="0" fontId="13" fillId="0" borderId="27" xfId="0" applyFont="1" applyBorder="1" applyAlignment="1">
      <alignment vertical="center" wrapText="1"/>
    </xf>
    <xf numFmtId="0" fontId="16" fillId="6" borderId="45" xfId="0" applyFont="1" applyFill="1" applyBorder="1" applyAlignment="1">
      <alignment horizontal="left" vertical="center"/>
    </xf>
    <xf numFmtId="0" fontId="16" fillId="6" borderId="46" xfId="0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6" fillId="6" borderId="47" xfId="0" applyFont="1" applyFill="1" applyBorder="1" applyAlignment="1">
      <alignment horizontal="left" vertical="center"/>
    </xf>
    <xf numFmtId="0" fontId="16" fillId="0" borderId="29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wrapText="1"/>
    </xf>
    <xf numFmtId="0" fontId="6" fillId="3" borderId="31" xfId="0" applyFont="1" applyFill="1" applyBorder="1" applyAlignment="1" applyProtection="1">
      <alignment horizontal="left" vertical="center" wrapText="1"/>
      <protection locked="0"/>
    </xf>
    <xf numFmtId="0" fontId="24" fillId="7" borderId="35" xfId="0" applyFont="1" applyFill="1" applyBorder="1" applyAlignment="1">
      <alignment horizontal="left" vertical="center"/>
    </xf>
    <xf numFmtId="0" fontId="19" fillId="8" borderId="35" xfId="0" applyFont="1" applyFill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center" vertical="top" wrapText="1"/>
    </xf>
    <xf numFmtId="0" fontId="24" fillId="8" borderId="35" xfId="0" applyFont="1" applyFill="1" applyBorder="1" applyAlignment="1">
      <alignment horizontal="left" vertical="center"/>
    </xf>
    <xf numFmtId="0" fontId="19" fillId="9" borderId="35" xfId="0" applyFont="1" applyFill="1" applyBorder="1" applyAlignment="1">
      <alignment horizontal="left" vertical="center"/>
    </xf>
    <xf numFmtId="0" fontId="16" fillId="0" borderId="3" xfId="0" applyFont="1" applyBorder="1" applyAlignment="1">
      <alignment vertical="center" wrapText="1"/>
    </xf>
    <xf numFmtId="2" fontId="6" fillId="3" borderId="44" xfId="0" applyNumberFormat="1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16" fillId="0" borderId="31" xfId="0" applyFont="1" applyBorder="1" applyAlignment="1">
      <alignment vertical="center" wrapText="1"/>
    </xf>
    <xf numFmtId="0" fontId="16" fillId="0" borderId="51" xfId="0" applyFont="1" applyBorder="1" applyAlignment="1">
      <alignment vertical="center" wrapText="1"/>
    </xf>
    <xf numFmtId="0" fontId="6" fillId="3" borderId="46" xfId="0" applyFont="1" applyFill="1" applyBorder="1" applyAlignment="1" applyProtection="1">
      <alignment horizontal="left" vertical="center" wrapText="1"/>
      <protection locked="0"/>
    </xf>
    <xf numFmtId="0" fontId="16" fillId="5" borderId="47" xfId="0" applyFont="1" applyFill="1" applyBorder="1" applyAlignment="1">
      <alignment horizontal="left" vertical="center"/>
    </xf>
    <xf numFmtId="0" fontId="16" fillId="5" borderId="45" xfId="0" applyFont="1" applyFill="1" applyBorder="1" applyAlignment="1">
      <alignment horizontal="center" vertical="center"/>
    </xf>
    <xf numFmtId="0" fontId="16" fillId="0" borderId="45" xfId="0" applyFont="1" applyBorder="1" applyAlignment="1">
      <alignment horizontal="left" vertical="center" wrapText="1"/>
    </xf>
    <xf numFmtId="2" fontId="6" fillId="5" borderId="41" xfId="0" applyNumberFormat="1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2" fontId="16" fillId="0" borderId="44" xfId="0" applyNumberFormat="1" applyFont="1" applyBorder="1" applyAlignment="1">
      <alignment vertical="center" wrapText="1"/>
    </xf>
    <xf numFmtId="0" fontId="16" fillId="5" borderId="17" xfId="0" applyFont="1" applyFill="1" applyBorder="1" applyAlignment="1">
      <alignment horizontal="left" vertical="center"/>
    </xf>
    <xf numFmtId="0" fontId="24" fillId="9" borderId="35" xfId="0" applyFont="1" applyFill="1" applyBorder="1" applyAlignment="1">
      <alignment horizontal="left" vertical="center"/>
    </xf>
    <xf numFmtId="0" fontId="19" fillId="10" borderId="35" xfId="0" applyFont="1" applyFill="1" applyBorder="1" applyAlignment="1">
      <alignment horizontal="left" vertical="center"/>
    </xf>
    <xf numFmtId="0" fontId="6" fillId="4" borderId="29" xfId="0" applyFont="1" applyFill="1" applyBorder="1" applyAlignment="1">
      <alignment horizontal="left" vertical="center" wrapText="1"/>
    </xf>
    <xf numFmtId="0" fontId="6" fillId="3" borderId="46" xfId="0" applyFont="1" applyFill="1" applyBorder="1" applyAlignment="1" applyProtection="1">
      <alignment vertical="center" wrapText="1"/>
      <protection locked="0"/>
    </xf>
    <xf numFmtId="0" fontId="16" fillId="0" borderId="57" xfId="0" applyFont="1" applyBorder="1" applyAlignment="1">
      <alignment vertical="center" wrapText="1"/>
    </xf>
    <xf numFmtId="0" fontId="6" fillId="4" borderId="46" xfId="0" applyFont="1" applyFill="1" applyBorder="1" applyAlignment="1">
      <alignment vertical="center" wrapText="1"/>
    </xf>
    <xf numFmtId="0" fontId="6" fillId="0" borderId="42" xfId="0" applyFont="1" applyBorder="1" applyAlignment="1">
      <alignment horizontal="left" vertical="center" wrapText="1"/>
    </xf>
    <xf numFmtId="0" fontId="6" fillId="4" borderId="46" xfId="0" applyFont="1" applyFill="1" applyBorder="1" applyAlignment="1">
      <alignment horizontal="left" vertical="center" wrapText="1"/>
    </xf>
    <xf numFmtId="0" fontId="16" fillId="5" borderId="45" xfId="0" applyFont="1" applyFill="1" applyBorder="1" applyAlignment="1">
      <alignment horizontal="left" vertical="center"/>
    </xf>
    <xf numFmtId="0" fontId="24" fillId="10" borderId="35" xfId="0" applyFont="1" applyFill="1" applyBorder="1" applyAlignment="1">
      <alignment horizontal="left" vertical="center"/>
    </xf>
    <xf numFmtId="0" fontId="31" fillId="11" borderId="35" xfId="0" applyFont="1" applyFill="1" applyBorder="1" applyAlignment="1">
      <alignment horizontal="left" vertical="center"/>
    </xf>
    <xf numFmtId="0" fontId="31" fillId="12" borderId="35" xfId="0" applyFont="1" applyFill="1" applyBorder="1" applyAlignment="1">
      <alignment horizontal="left" vertical="center"/>
    </xf>
    <xf numFmtId="0" fontId="30" fillId="3" borderId="0" xfId="0" applyFont="1" applyFill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0" fillId="0" borderId="2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6" fillId="0" borderId="55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0" borderId="60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6" fillId="3" borderId="45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0" borderId="63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0" fontId="6" fillId="4" borderId="31" xfId="0" applyFont="1" applyFill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3" borderId="27" xfId="0" applyFont="1" applyFill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>
      <alignment horizontal="center" vertical="center" wrapText="1"/>
    </xf>
    <xf numFmtId="0" fontId="6" fillId="0" borderId="42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6" fillId="0" borderId="51" xfId="0" applyFont="1" applyBorder="1" applyAlignment="1">
      <alignment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left" vertical="center" wrapText="1"/>
    </xf>
    <xf numFmtId="0" fontId="6" fillId="4" borderId="28" xfId="0" applyFont="1" applyFill="1" applyBorder="1" applyAlignment="1">
      <alignment horizontal="left" vertical="center" wrapText="1"/>
    </xf>
    <xf numFmtId="0" fontId="6" fillId="4" borderId="50" xfId="0" applyFont="1" applyFill="1" applyBorder="1" applyAlignment="1">
      <alignment horizontal="left" vertical="center" wrapText="1"/>
    </xf>
    <xf numFmtId="0" fontId="0" fillId="5" borderId="35" xfId="0" applyFill="1" applyBorder="1" applyAlignment="1">
      <alignment horizontal="center" vertical="center" wrapText="1"/>
    </xf>
    <xf numFmtId="0" fontId="0" fillId="5" borderId="37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52" xfId="0" applyFill="1" applyBorder="1" applyAlignment="1">
      <alignment horizontal="center" vertical="center" wrapText="1"/>
    </xf>
    <xf numFmtId="2" fontId="27" fillId="5" borderId="52" xfId="0" applyNumberFormat="1" applyFont="1" applyFill="1" applyBorder="1" applyAlignment="1">
      <alignment horizontal="center" vertical="center" textRotation="90" wrapText="1"/>
    </xf>
    <xf numFmtId="2" fontId="27" fillId="5" borderId="7" xfId="0" applyNumberFormat="1" applyFont="1" applyFill="1" applyBorder="1" applyAlignment="1">
      <alignment horizontal="center" vertical="center" textRotation="90" wrapText="1"/>
    </xf>
    <xf numFmtId="2" fontId="27" fillId="5" borderId="10" xfId="0" applyNumberFormat="1" applyFont="1" applyFill="1" applyBorder="1" applyAlignment="1">
      <alignment horizontal="center" vertical="center" textRotation="90" wrapText="1"/>
    </xf>
    <xf numFmtId="164" fontId="0" fillId="5" borderId="35" xfId="0" applyNumberFormat="1" applyFill="1" applyBorder="1" applyAlignment="1">
      <alignment horizontal="center" vertical="center" wrapText="1"/>
    </xf>
    <xf numFmtId="164" fontId="0" fillId="5" borderId="37" xfId="0" applyNumberFormat="1" applyFill="1" applyBorder="1" applyAlignment="1">
      <alignment horizontal="center" vertical="center" wrapText="1"/>
    </xf>
    <xf numFmtId="2" fontId="36" fillId="5" borderId="64" xfId="0" applyNumberFormat="1" applyFont="1" applyFill="1" applyBorder="1" applyAlignment="1">
      <alignment horizontal="center" vertical="center" textRotation="90" wrapText="1"/>
    </xf>
    <xf numFmtId="2" fontId="36" fillId="5" borderId="66" xfId="0" applyNumberFormat="1" applyFont="1" applyFill="1" applyBorder="1" applyAlignment="1">
      <alignment horizontal="center" vertical="center" textRotation="90" wrapText="1"/>
    </xf>
    <xf numFmtId="0" fontId="16" fillId="7" borderId="6" xfId="0" applyFont="1" applyFill="1" applyBorder="1" applyAlignment="1">
      <alignment horizontal="left" vertical="center" wrapText="1"/>
    </xf>
    <xf numFmtId="0" fontId="16" fillId="7" borderId="0" xfId="0" applyFont="1" applyFill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7" fillId="5" borderId="64" xfId="0" applyFont="1" applyFill="1" applyBorder="1" applyAlignment="1">
      <alignment horizontal="center" vertical="center" textRotation="90" wrapText="1"/>
    </xf>
    <xf numFmtId="0" fontId="27" fillId="5" borderId="65" xfId="0" applyFont="1" applyFill="1" applyBorder="1" applyAlignment="1">
      <alignment horizontal="center" vertical="center" textRotation="90" wrapText="1"/>
    </xf>
    <xf numFmtId="0" fontId="27" fillId="5" borderId="66" xfId="0" applyFont="1" applyFill="1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54" xfId="0" applyBorder="1" applyAlignment="1">
      <alignment horizontal="center" vertical="center" wrapText="1"/>
    </xf>
    <xf numFmtId="0" fontId="0" fillId="0" borderId="31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31" xfId="0" applyBorder="1" applyAlignment="1">
      <alignment horizontal="left" vertical="center"/>
    </xf>
  </cellXfs>
  <cellStyles count="4">
    <cellStyle name="Normal" xfId="0" builtinId="0"/>
    <cellStyle name="Normal 2" xfId="2" xr:uid="{00000000-0005-0000-0000-000001000000}"/>
    <cellStyle name="Porcentaje" xfId="1" builtinId="5"/>
    <cellStyle name="Salida 2" xfId="3" xr:uid="{00000000-0005-0000-0000-000003000000}"/>
  </cellStyles>
  <dxfs count="196"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ntcs01srv04\g0106013\SDR\LEADER%202014-2020\EJECUCI&#211;N\01_Proyectos%20Promotores%20Externos\LEADER%202014-2020_P.EXTERN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ntcs01srv04\g0106013\SDR\LEADER%202023-2027\EJECUCI&#211;N\7119_0201_PromotoresExternos\Convocatoria%202024\01_Convocatoria\EDE\baremaci&#243;n%20final\Baremaci&#243;n%20P%202&#170;%20Conv.%20ACTUALIZADO%202024_desbloq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edientes"/>
      <sheetName val="Indicadores"/>
      <sheetName val="Listas"/>
      <sheetName val="Municipios"/>
      <sheetName val="Expedientes MIC"/>
      <sheetName val="Borra_Desest_Renuncias"/>
      <sheetName val="Expedientes LEADER"/>
      <sheetName val="Indicadores Empleo"/>
      <sheetName val="Indicadores Acciones Formativas"/>
      <sheetName val="BorradorBajaSolDesest"/>
    </sheetNames>
    <sheetDataSet>
      <sheetData sheetId="0"/>
      <sheetData sheetId="1"/>
      <sheetData sheetId="2" refreshError="1">
        <row r="2">
          <cell r="D2" t="str">
            <v>PF Hombre</v>
          </cell>
          <cell r="AA2" t="str">
            <v>1 Anticipo</v>
          </cell>
          <cell r="AC2" t="str">
            <v>SI</v>
          </cell>
        </row>
        <row r="3">
          <cell r="D3" t="str">
            <v>PF Mujer</v>
          </cell>
          <cell r="AA3" t="str">
            <v>2 Único/Final</v>
          </cell>
          <cell r="AC3" t="str">
            <v>NO</v>
          </cell>
        </row>
        <row r="4">
          <cell r="D4" t="str">
            <v>PJ Entidad Local</v>
          </cell>
          <cell r="AA4" t="str">
            <v>3 Reintegro</v>
          </cell>
        </row>
        <row r="5">
          <cell r="D5" t="str">
            <v>PJ Sociedad Laboral</v>
          </cell>
          <cell r="AA5" t="str">
            <v>7 Parcial</v>
          </cell>
        </row>
        <row r="6">
          <cell r="D6" t="str">
            <v>PJ otras Sociedades mercantiles no laborales</v>
          </cell>
        </row>
        <row r="7">
          <cell r="D7" t="str">
            <v>PJ Fundación</v>
          </cell>
        </row>
        <row r="8">
          <cell r="D8" t="str">
            <v>PJ Asociación</v>
          </cell>
        </row>
        <row r="9">
          <cell r="D9" t="str">
            <v>PJ Otras entidades no mercantiles</v>
          </cell>
        </row>
        <row r="10">
          <cell r="D10" t="str">
            <v>PJ Cooperativa</v>
          </cell>
        </row>
        <row r="11">
          <cell r="D11" t="str">
            <v>PJ Privado</v>
          </cell>
        </row>
        <row r="12">
          <cell r="D12" t="str">
            <v>PJ OACA</v>
          </cell>
        </row>
        <row r="23">
          <cell r="B23" t="str">
            <v>CST-R</v>
          </cell>
        </row>
        <row r="24">
          <cell r="B24" t="str">
            <v>CST-A</v>
          </cell>
        </row>
        <row r="25">
          <cell r="B25" t="str">
            <v>CST-D</v>
          </cell>
        </row>
      </sheetData>
      <sheetData sheetId="3" refreshError="1">
        <row r="2">
          <cell r="C2" t="str">
            <v>31000 DESCONOCIDO</v>
          </cell>
        </row>
        <row r="3">
          <cell r="C3" t="str">
            <v>31001 ABÁIGAR</v>
          </cell>
        </row>
        <row r="4">
          <cell r="C4" t="str">
            <v>31002 ABÁRZUZA</v>
          </cell>
        </row>
        <row r="5">
          <cell r="C5" t="str">
            <v>31003 ABAURREGAINA / ABAURREA ALTA</v>
          </cell>
        </row>
        <row r="6">
          <cell r="C6" t="str">
            <v>31004 ABAURREPEA / ABAURREA BAJA</v>
          </cell>
        </row>
        <row r="7">
          <cell r="C7" t="str">
            <v>31005 ABERIN</v>
          </cell>
        </row>
        <row r="8">
          <cell r="C8" t="str">
            <v>31006 ABLITAS</v>
          </cell>
        </row>
        <row r="9">
          <cell r="C9" t="str">
            <v>31007 ADIÓS</v>
          </cell>
        </row>
        <row r="10">
          <cell r="C10" t="str">
            <v>31008 AGUILAR DE CODÉS</v>
          </cell>
        </row>
        <row r="11">
          <cell r="C11" t="str">
            <v>31009 AIBAR</v>
          </cell>
        </row>
        <row r="12">
          <cell r="C12" t="str">
            <v>31010 ALTSASU / ALSASUA</v>
          </cell>
        </row>
        <row r="13">
          <cell r="C13" t="str">
            <v>31011 ALLÍN</v>
          </cell>
        </row>
        <row r="14">
          <cell r="C14" t="str">
            <v>31012 ALLO</v>
          </cell>
        </row>
        <row r="15">
          <cell r="C15" t="str">
            <v>31013 AMESCOA BAJA</v>
          </cell>
        </row>
        <row r="16">
          <cell r="C16" t="str">
            <v>31014 ANCÍN</v>
          </cell>
        </row>
        <row r="17">
          <cell r="C17" t="str">
            <v>31015 ANDOSILLA</v>
          </cell>
        </row>
        <row r="18">
          <cell r="C18" t="str">
            <v>31016 ANSOÁIN</v>
          </cell>
        </row>
        <row r="19">
          <cell r="C19" t="str">
            <v>31017 ANUE</v>
          </cell>
        </row>
        <row r="20">
          <cell r="C20" t="str">
            <v>31018 AÑORBE</v>
          </cell>
        </row>
        <row r="21">
          <cell r="C21" t="str">
            <v>31019 AOIZ</v>
          </cell>
        </row>
        <row r="22">
          <cell r="C22" t="str">
            <v>31020 ARAITZ</v>
          </cell>
        </row>
        <row r="23">
          <cell r="C23" t="str">
            <v>31021 ARANARACHE</v>
          </cell>
        </row>
        <row r="24">
          <cell r="C24" t="str">
            <v>31022 ARANTZA</v>
          </cell>
        </row>
        <row r="25">
          <cell r="C25" t="str">
            <v>31023 ARANGUREN</v>
          </cell>
        </row>
        <row r="26">
          <cell r="C26" t="str">
            <v>31024 ARANO</v>
          </cell>
        </row>
        <row r="27">
          <cell r="C27" t="str">
            <v>31025 ARAKIL</v>
          </cell>
        </row>
        <row r="28">
          <cell r="C28" t="str">
            <v>31026 ARAS</v>
          </cell>
        </row>
        <row r="29">
          <cell r="C29" t="str">
            <v>31027 ARBIZU</v>
          </cell>
        </row>
        <row r="30">
          <cell r="C30" t="str">
            <v>31028 ARCE</v>
          </cell>
        </row>
        <row r="31">
          <cell r="C31" t="str">
            <v>31029 ARCOS, LOS</v>
          </cell>
        </row>
        <row r="32">
          <cell r="C32" t="str">
            <v>31030 ARELLANO</v>
          </cell>
        </row>
        <row r="33">
          <cell r="C33" t="str">
            <v>31031 ARESO</v>
          </cell>
        </row>
        <row r="34">
          <cell r="C34" t="str">
            <v>31032 ARGUEDAS</v>
          </cell>
        </row>
        <row r="35">
          <cell r="C35" t="str">
            <v>31033 ARIA</v>
          </cell>
        </row>
        <row r="36">
          <cell r="C36" t="str">
            <v>31034 ARIBE</v>
          </cell>
        </row>
        <row r="37">
          <cell r="C37" t="str">
            <v>31035 ARMAÑANZAS</v>
          </cell>
        </row>
        <row r="38">
          <cell r="C38" t="str">
            <v>31036 ARRÓNIZ</v>
          </cell>
        </row>
        <row r="39">
          <cell r="C39" t="str">
            <v>31037 ARRUAZU</v>
          </cell>
        </row>
        <row r="40">
          <cell r="C40" t="str">
            <v>31038 ARTAJONA</v>
          </cell>
        </row>
        <row r="41">
          <cell r="C41" t="str">
            <v>31039 ARTAZU</v>
          </cell>
        </row>
        <row r="42">
          <cell r="C42" t="str">
            <v>31040 ATEZ</v>
          </cell>
        </row>
        <row r="43">
          <cell r="C43" t="str">
            <v>31041 AYEGUI</v>
          </cell>
        </row>
        <row r="44">
          <cell r="C44" t="str">
            <v>31042 AZAGRA</v>
          </cell>
        </row>
        <row r="45">
          <cell r="C45" t="str">
            <v>31043 AZUELO</v>
          </cell>
        </row>
        <row r="46">
          <cell r="C46" t="str">
            <v>31044 BAKAIKU</v>
          </cell>
        </row>
        <row r="47">
          <cell r="C47" t="str">
            <v>31045 BARÁSOAIN</v>
          </cell>
        </row>
        <row r="48">
          <cell r="C48" t="str">
            <v>31046 BARBARIN</v>
          </cell>
        </row>
        <row r="49">
          <cell r="C49" t="str">
            <v>31047 BARGOTA</v>
          </cell>
        </row>
        <row r="50">
          <cell r="C50" t="str">
            <v>31048 BARILLAS</v>
          </cell>
        </row>
        <row r="51">
          <cell r="C51" t="str">
            <v>31049 BASABURUA</v>
          </cell>
        </row>
        <row r="52">
          <cell r="C52" t="str">
            <v>31050 BAZTAN</v>
          </cell>
        </row>
        <row r="53">
          <cell r="C53" t="str">
            <v>31051 BEIRE</v>
          </cell>
        </row>
        <row r="54">
          <cell r="C54" t="str">
            <v>31052 BELASCOÁIN</v>
          </cell>
        </row>
        <row r="55">
          <cell r="C55" t="str">
            <v>31053 BERBINZANA</v>
          </cell>
        </row>
        <row r="56">
          <cell r="C56" t="str">
            <v>31054 BERTIZARANA</v>
          </cell>
        </row>
        <row r="57">
          <cell r="C57" t="str">
            <v>31055 BETELU</v>
          </cell>
        </row>
        <row r="58">
          <cell r="C58" t="str">
            <v>31056 BIURRUN-OLCOZ</v>
          </cell>
        </row>
        <row r="59">
          <cell r="C59" t="str">
            <v>31057 BUÑUEL</v>
          </cell>
        </row>
        <row r="60">
          <cell r="C60" t="str">
            <v>31058 AURITZ / BURGUETE</v>
          </cell>
        </row>
        <row r="61">
          <cell r="C61" t="str">
            <v>31059 BURGUI</v>
          </cell>
        </row>
        <row r="62">
          <cell r="C62" t="str">
            <v>31060 BURLADA</v>
          </cell>
        </row>
        <row r="63">
          <cell r="C63" t="str">
            <v>31061 BUSTO, EL</v>
          </cell>
        </row>
        <row r="64">
          <cell r="C64" t="str">
            <v>31062 CABANILLAS</v>
          </cell>
        </row>
        <row r="65">
          <cell r="C65" t="str">
            <v>31063 CABREDO</v>
          </cell>
        </row>
        <row r="66">
          <cell r="C66" t="str">
            <v>31064 CADREITA</v>
          </cell>
        </row>
        <row r="67">
          <cell r="C67" t="str">
            <v>31065 CAPARROSO</v>
          </cell>
        </row>
        <row r="68">
          <cell r="C68" t="str">
            <v>31066 CÁRCAR</v>
          </cell>
        </row>
        <row r="69">
          <cell r="C69" t="str">
            <v>31067 CARCASTILLO</v>
          </cell>
        </row>
        <row r="70">
          <cell r="C70" t="str">
            <v>31068 CASCANTE</v>
          </cell>
        </row>
        <row r="71">
          <cell r="C71" t="str">
            <v>31069 CÁSEDA</v>
          </cell>
        </row>
        <row r="72">
          <cell r="C72" t="str">
            <v>31070 CASTEJÓN</v>
          </cell>
        </row>
        <row r="73">
          <cell r="C73" t="str">
            <v>31071 CASTILLO-NUEVO</v>
          </cell>
        </row>
        <row r="74">
          <cell r="C74" t="str">
            <v>31072 CINTRUÉNIGO</v>
          </cell>
        </row>
        <row r="75">
          <cell r="C75" t="str">
            <v>31073 ZIORDIA</v>
          </cell>
        </row>
        <row r="76">
          <cell r="C76" t="str">
            <v>31074 CIRAUQUI</v>
          </cell>
        </row>
        <row r="77">
          <cell r="C77" t="str">
            <v>31075 CIRIZA</v>
          </cell>
        </row>
        <row r="78">
          <cell r="C78" t="str">
            <v>31076 CIZUR</v>
          </cell>
        </row>
        <row r="79">
          <cell r="C79" t="str">
            <v>31077 CORELLA</v>
          </cell>
        </row>
        <row r="80">
          <cell r="C80" t="str">
            <v>31078 CORTES</v>
          </cell>
        </row>
        <row r="81">
          <cell r="C81" t="str">
            <v>31079 DESOJO</v>
          </cell>
        </row>
        <row r="82">
          <cell r="C82" t="str">
            <v>31080 DICASTILLO</v>
          </cell>
        </row>
        <row r="83">
          <cell r="C83" t="str">
            <v>31081 DONAMARIA</v>
          </cell>
        </row>
        <row r="84">
          <cell r="C84" t="str">
            <v>31082 ETXALAR</v>
          </cell>
        </row>
        <row r="85">
          <cell r="C85" t="str">
            <v>31083 ECHARRI</v>
          </cell>
        </row>
        <row r="86">
          <cell r="C86" t="str">
            <v>31084 ETXARRI- ARANATZ</v>
          </cell>
        </row>
        <row r="87">
          <cell r="C87" t="str">
            <v>31085 ETXAURI</v>
          </cell>
        </row>
        <row r="88">
          <cell r="C88" t="str">
            <v>31086 EGÜÉS</v>
          </cell>
        </row>
        <row r="89">
          <cell r="C89" t="str">
            <v>31087 ELGORRIAGA</v>
          </cell>
        </row>
        <row r="90">
          <cell r="C90" t="str">
            <v>31088 NOÁIN ( VALLE DE ELORZ)</v>
          </cell>
        </row>
        <row r="91">
          <cell r="C91" t="str">
            <v>31089 ENÉRIZ</v>
          </cell>
        </row>
        <row r="92">
          <cell r="C92" t="str">
            <v>31090 ERATSUN</v>
          </cell>
        </row>
        <row r="93">
          <cell r="C93" t="str">
            <v>31091 ERGOIENA</v>
          </cell>
        </row>
        <row r="94">
          <cell r="C94" t="str">
            <v>31092 ERRO</v>
          </cell>
        </row>
        <row r="95">
          <cell r="C95" t="str">
            <v>31093 EZCÁROZ</v>
          </cell>
        </row>
        <row r="96">
          <cell r="C96" t="str">
            <v>31094 ESLAVA</v>
          </cell>
        </row>
        <row r="97">
          <cell r="C97" t="str">
            <v>31095 ESPARZA</v>
          </cell>
        </row>
        <row r="98">
          <cell r="C98" t="str">
            <v>31096 ESPRONCEDA</v>
          </cell>
        </row>
        <row r="99">
          <cell r="C99" t="str">
            <v>31097 ESTELLA</v>
          </cell>
        </row>
        <row r="100">
          <cell r="C100" t="str">
            <v>31098 ESTERIBAR</v>
          </cell>
        </row>
        <row r="101">
          <cell r="C101" t="str">
            <v>31099 ETAYO</v>
          </cell>
        </row>
        <row r="102">
          <cell r="C102" t="str">
            <v>31100 EULATE</v>
          </cell>
        </row>
        <row r="103">
          <cell r="C103" t="str">
            <v>31101 EZCABARTE</v>
          </cell>
        </row>
        <row r="104">
          <cell r="C104" t="str">
            <v>31102 EZKURRA</v>
          </cell>
        </row>
        <row r="105">
          <cell r="C105" t="str">
            <v>31103 EZPROGUI</v>
          </cell>
        </row>
        <row r="106">
          <cell r="C106" t="str">
            <v>31104 FALCES</v>
          </cell>
        </row>
        <row r="107">
          <cell r="C107" t="str">
            <v>31105 FITERO</v>
          </cell>
        </row>
        <row r="108">
          <cell r="C108" t="str">
            <v>31106 FONTELLAS</v>
          </cell>
        </row>
        <row r="109">
          <cell r="C109" t="str">
            <v>31107 FUNES</v>
          </cell>
        </row>
        <row r="110">
          <cell r="C110" t="str">
            <v>31108 FUSTIÑANA</v>
          </cell>
        </row>
        <row r="111">
          <cell r="C111" t="str">
            <v>31109 GALAR</v>
          </cell>
        </row>
        <row r="112">
          <cell r="C112" t="str">
            <v>31110 GALLIPIENZO</v>
          </cell>
        </row>
        <row r="113">
          <cell r="C113" t="str">
            <v>31111 GALLUÉS</v>
          </cell>
        </row>
        <row r="114">
          <cell r="C114" t="str">
            <v>31112 GARAIOA</v>
          </cell>
        </row>
        <row r="115">
          <cell r="C115" t="str">
            <v>31113 GARDE</v>
          </cell>
        </row>
        <row r="116">
          <cell r="C116" t="str">
            <v>31114 GARÍNOAIN</v>
          </cell>
        </row>
        <row r="117">
          <cell r="C117" t="str">
            <v>31115 GARRALDA</v>
          </cell>
        </row>
        <row r="118">
          <cell r="C118" t="str">
            <v>31116 GENEVILLA</v>
          </cell>
        </row>
        <row r="119">
          <cell r="C119" t="str">
            <v>31117 GOIZUETA</v>
          </cell>
        </row>
        <row r="120">
          <cell r="C120" t="str">
            <v>31118 GOÑI</v>
          </cell>
        </row>
        <row r="121">
          <cell r="C121" t="str">
            <v>31119 GÜESA</v>
          </cell>
        </row>
        <row r="122">
          <cell r="C122" t="str">
            <v>31120 GUESÁLAZ</v>
          </cell>
        </row>
        <row r="123">
          <cell r="C123" t="str">
            <v>31121 GUIRGUILLANO</v>
          </cell>
        </row>
        <row r="124">
          <cell r="C124" t="str">
            <v>31122 HUARTE</v>
          </cell>
        </row>
        <row r="125">
          <cell r="C125" t="str">
            <v>31123 UHARTE- ARAKIL</v>
          </cell>
        </row>
        <row r="126">
          <cell r="C126" t="str">
            <v>31124 IBARGOITI</v>
          </cell>
        </row>
        <row r="127">
          <cell r="C127" t="str">
            <v>31125 IGÚZQUIZA</v>
          </cell>
        </row>
        <row r="128">
          <cell r="C128" t="str">
            <v>31126 IMOTZ</v>
          </cell>
        </row>
        <row r="129">
          <cell r="C129" t="str">
            <v>31127 IRAÑETA</v>
          </cell>
        </row>
        <row r="130">
          <cell r="C130" t="str">
            <v>31128 ISABA</v>
          </cell>
        </row>
        <row r="131">
          <cell r="C131" t="str">
            <v>31129 ITUREN</v>
          </cell>
        </row>
        <row r="132">
          <cell r="C132" t="str">
            <v>31130 ITURMENDI</v>
          </cell>
        </row>
        <row r="133">
          <cell r="C133" t="str">
            <v>31131 IZA</v>
          </cell>
        </row>
        <row r="134">
          <cell r="C134" t="str">
            <v>31132 IZAGAONDOA</v>
          </cell>
        </row>
        <row r="135">
          <cell r="C135" t="str">
            <v>31133 IZALZU</v>
          </cell>
        </row>
        <row r="136">
          <cell r="C136" t="str">
            <v>31134 JAURRIETA</v>
          </cell>
        </row>
        <row r="137">
          <cell r="C137" t="str">
            <v>31135 JAVIER</v>
          </cell>
        </row>
        <row r="138">
          <cell r="C138" t="str">
            <v>31136 JUSLAPEÑA</v>
          </cell>
        </row>
        <row r="139">
          <cell r="C139" t="str">
            <v>31137 LABAIEN</v>
          </cell>
        </row>
        <row r="140">
          <cell r="C140" t="str">
            <v>31138 LAKUNTZA</v>
          </cell>
        </row>
        <row r="141">
          <cell r="C141" t="str">
            <v>31139 LANA</v>
          </cell>
        </row>
        <row r="142">
          <cell r="C142" t="str">
            <v>31140 LANTZ</v>
          </cell>
        </row>
        <row r="143">
          <cell r="C143" t="str">
            <v>31141 LAPOBLACIÓN</v>
          </cell>
        </row>
        <row r="144">
          <cell r="C144" t="str">
            <v>31142 LARRAGA</v>
          </cell>
        </row>
        <row r="145">
          <cell r="C145" t="str">
            <v>31143 LARRAONA</v>
          </cell>
        </row>
        <row r="146">
          <cell r="C146" t="str">
            <v>31144 LARRAUN</v>
          </cell>
        </row>
        <row r="147">
          <cell r="C147" t="str">
            <v>31145 LAZAGURRÍA</v>
          </cell>
        </row>
        <row r="148">
          <cell r="C148" t="str">
            <v>31146 LEACHE</v>
          </cell>
        </row>
        <row r="149">
          <cell r="C149" t="str">
            <v>31147 LEGARDA</v>
          </cell>
        </row>
        <row r="150">
          <cell r="C150" t="str">
            <v>31148 LEGARIA</v>
          </cell>
        </row>
        <row r="151">
          <cell r="C151" t="str">
            <v>31149 LEITZA</v>
          </cell>
        </row>
        <row r="152">
          <cell r="C152" t="str">
            <v>31150 LEOZ</v>
          </cell>
        </row>
        <row r="153">
          <cell r="C153" t="str">
            <v>31151 LERGA</v>
          </cell>
        </row>
        <row r="154">
          <cell r="C154" t="str">
            <v>31152 LERÍN</v>
          </cell>
        </row>
        <row r="155">
          <cell r="C155" t="str">
            <v>31153 LESAKA</v>
          </cell>
        </row>
        <row r="156">
          <cell r="C156" t="str">
            <v>31154 LEZÁUN</v>
          </cell>
        </row>
        <row r="157">
          <cell r="C157" t="str">
            <v>31155 LIÉDENA</v>
          </cell>
        </row>
        <row r="158">
          <cell r="C158" t="str">
            <v>31156 LIZOÁIN</v>
          </cell>
        </row>
        <row r="159">
          <cell r="C159" t="str">
            <v>31157 LODOSA</v>
          </cell>
        </row>
        <row r="160">
          <cell r="C160" t="str">
            <v>31158 LÓNGUIDA</v>
          </cell>
        </row>
        <row r="161">
          <cell r="C161" t="str">
            <v>31159 LUMBIER</v>
          </cell>
        </row>
        <row r="162">
          <cell r="C162" t="str">
            <v>31160 LUQUIN</v>
          </cell>
        </row>
        <row r="163">
          <cell r="C163" t="str">
            <v>31161 MAÑERU</v>
          </cell>
        </row>
        <row r="164">
          <cell r="C164" t="str">
            <v>31162 MARAÑÓN</v>
          </cell>
        </row>
        <row r="165">
          <cell r="C165" t="str">
            <v>31163 MARCILLA</v>
          </cell>
        </row>
        <row r="166">
          <cell r="C166" t="str">
            <v>31164 MÉLIDA</v>
          </cell>
        </row>
        <row r="167">
          <cell r="C167" t="str">
            <v>31165 MENDAVIA</v>
          </cell>
        </row>
        <row r="168">
          <cell r="C168" t="str">
            <v>31166 MENDAZA</v>
          </cell>
        </row>
        <row r="169">
          <cell r="C169" t="str">
            <v>31167 MENDIGORRÍA</v>
          </cell>
        </row>
        <row r="170">
          <cell r="C170" t="str">
            <v>31168 METAUTEN</v>
          </cell>
        </row>
        <row r="171">
          <cell r="C171" t="str">
            <v>31169 MILAGRO</v>
          </cell>
        </row>
        <row r="172">
          <cell r="C172" t="str">
            <v>31170 MIRAFUENTES</v>
          </cell>
        </row>
        <row r="173">
          <cell r="C173" t="str">
            <v>31171 MIRANDA DE ARGA</v>
          </cell>
        </row>
        <row r="174">
          <cell r="C174" t="str">
            <v>31172 MONREAL</v>
          </cell>
        </row>
        <row r="175">
          <cell r="C175" t="str">
            <v>31173 MONTEAGUDO</v>
          </cell>
        </row>
        <row r="176">
          <cell r="C176" t="str">
            <v>31174 MORENTIN</v>
          </cell>
        </row>
        <row r="177">
          <cell r="C177" t="str">
            <v>31175 MUÉS</v>
          </cell>
        </row>
        <row r="178">
          <cell r="C178" t="str">
            <v>31176 MURCHANTE</v>
          </cell>
        </row>
        <row r="179">
          <cell r="C179" t="str">
            <v>31177 MURIETA</v>
          </cell>
        </row>
        <row r="180">
          <cell r="C180" t="str">
            <v>31178 MURILLO EL CUENDE</v>
          </cell>
        </row>
        <row r="181">
          <cell r="C181" t="str">
            <v>31179 MURILLO EL FRUTO</v>
          </cell>
        </row>
        <row r="182">
          <cell r="C182" t="str">
            <v>31180 MURUZÁBAL</v>
          </cell>
        </row>
        <row r="183">
          <cell r="C183" t="str">
            <v>31181 NAVASCUÉS</v>
          </cell>
        </row>
        <row r="184">
          <cell r="C184" t="str">
            <v>31182 NÁZAR</v>
          </cell>
        </row>
        <row r="185">
          <cell r="C185" t="str">
            <v>31183 OBANOS</v>
          </cell>
        </row>
        <row r="186">
          <cell r="C186" t="str">
            <v>31184 OCO</v>
          </cell>
        </row>
        <row r="187">
          <cell r="C187" t="str">
            <v>31185 OCHAGAVÍA</v>
          </cell>
        </row>
        <row r="188">
          <cell r="C188" t="str">
            <v>31186 ODIETA</v>
          </cell>
        </row>
        <row r="189">
          <cell r="C189" t="str">
            <v>31187 OITZ</v>
          </cell>
        </row>
        <row r="190">
          <cell r="C190" t="str">
            <v>31188 OLÁIBAR</v>
          </cell>
        </row>
        <row r="191">
          <cell r="C191" t="str">
            <v>31189 OLAZTI / OLAZAGUTIA</v>
          </cell>
        </row>
        <row r="192">
          <cell r="C192" t="str">
            <v>31190 OLEJUA</v>
          </cell>
        </row>
        <row r="193">
          <cell r="C193" t="str">
            <v>31191 OLITE</v>
          </cell>
        </row>
        <row r="194">
          <cell r="C194" t="str">
            <v>31192 OLÓRIZ</v>
          </cell>
        </row>
        <row r="195">
          <cell r="C195" t="str">
            <v>31193 OLZA</v>
          </cell>
        </row>
        <row r="196">
          <cell r="C196" t="str">
            <v>31194 OLLO</v>
          </cell>
        </row>
        <row r="197">
          <cell r="C197" t="str">
            <v>31195 ORBAITZETA</v>
          </cell>
        </row>
        <row r="198">
          <cell r="C198" t="str">
            <v>31196 ORBARA</v>
          </cell>
        </row>
        <row r="199">
          <cell r="C199" t="str">
            <v>31197 ORÍSOAIN</v>
          </cell>
        </row>
        <row r="200">
          <cell r="C200" t="str">
            <v>31198 ORONZ</v>
          </cell>
        </row>
        <row r="201">
          <cell r="C201" t="str">
            <v>31199 OROZ- BETELU</v>
          </cell>
        </row>
        <row r="202">
          <cell r="C202" t="str">
            <v>31200 OTEIZA</v>
          </cell>
        </row>
        <row r="203">
          <cell r="C203" t="str">
            <v>31201 PAMPLONA</v>
          </cell>
        </row>
        <row r="204">
          <cell r="C204" t="str">
            <v>31202 PERALTA</v>
          </cell>
        </row>
        <row r="205">
          <cell r="C205" t="str">
            <v>31203 PETILLA DE ARAGÓN</v>
          </cell>
        </row>
        <row r="206">
          <cell r="C206" t="str">
            <v>31204 PIEDRAMILLERA</v>
          </cell>
        </row>
        <row r="207">
          <cell r="C207" t="str">
            <v>31205 PITILLAS</v>
          </cell>
        </row>
        <row r="208">
          <cell r="C208" t="str">
            <v>31206 PUENTE LA REINA</v>
          </cell>
        </row>
        <row r="209">
          <cell r="C209" t="str">
            <v>31207 PUEYO</v>
          </cell>
        </row>
        <row r="210">
          <cell r="C210" t="str">
            <v>31208 RIBAFORADA</v>
          </cell>
        </row>
        <row r="211">
          <cell r="C211" t="str">
            <v>31209 ROMANZADO</v>
          </cell>
        </row>
        <row r="212">
          <cell r="C212" t="str">
            <v>31210 RONCAL</v>
          </cell>
        </row>
        <row r="213">
          <cell r="C213" t="str">
            <v>31211 ORREAGA / RONCESVALLES</v>
          </cell>
        </row>
        <row r="214">
          <cell r="C214" t="str">
            <v>31212 SADA</v>
          </cell>
        </row>
        <row r="215">
          <cell r="C215" t="str">
            <v>31213 SALDÍAS</v>
          </cell>
        </row>
        <row r="216">
          <cell r="C216" t="str">
            <v>31214 SALINAS DE ORO</v>
          </cell>
        </row>
        <row r="217">
          <cell r="C217" t="str">
            <v>31215 SAN ADRIÁN</v>
          </cell>
        </row>
        <row r="218">
          <cell r="C218" t="str">
            <v>31216 SANGÜESA</v>
          </cell>
        </row>
        <row r="219">
          <cell r="C219" t="str">
            <v>31217 SAN MARTIN DE UNX</v>
          </cell>
        </row>
        <row r="220">
          <cell r="C220" t="str">
            <v>31219 SANSOL</v>
          </cell>
        </row>
        <row r="221">
          <cell r="C221" t="str">
            <v>31220 SANTACARA</v>
          </cell>
        </row>
        <row r="222">
          <cell r="C222" t="str">
            <v>31221 DONEZTEBE / SANTESTEBAN</v>
          </cell>
        </row>
        <row r="223">
          <cell r="C223" t="str">
            <v>31222 SARRIÉS</v>
          </cell>
        </row>
        <row r="224">
          <cell r="C224" t="str">
            <v>31223 SARTAGUDA</v>
          </cell>
        </row>
        <row r="225">
          <cell r="C225" t="str">
            <v>31224 SESMA</v>
          </cell>
        </row>
        <row r="226">
          <cell r="C226" t="str">
            <v>31225 SORLADA</v>
          </cell>
        </row>
        <row r="227">
          <cell r="C227" t="str">
            <v>31226 SUNBILLA</v>
          </cell>
        </row>
        <row r="228">
          <cell r="C228" t="str">
            <v>31227 TAFALLA</v>
          </cell>
        </row>
        <row r="229">
          <cell r="C229" t="str">
            <v>31228 TIEBAS- MURUARTE DE RETA</v>
          </cell>
        </row>
        <row r="230">
          <cell r="C230" t="str">
            <v>31229 TIRAPU</v>
          </cell>
        </row>
        <row r="231">
          <cell r="C231" t="str">
            <v>31230 TORRALBA DEL RÍO</v>
          </cell>
        </row>
        <row r="232">
          <cell r="C232" t="str">
            <v>31231 TORRES DEL RÍO</v>
          </cell>
        </row>
        <row r="233">
          <cell r="C233" t="str">
            <v>31232 TUDELA</v>
          </cell>
        </row>
        <row r="234">
          <cell r="C234" t="str">
            <v>31233 TULEBRAS</v>
          </cell>
        </row>
        <row r="235">
          <cell r="C235" t="str">
            <v>31234 ÚCAR</v>
          </cell>
        </row>
        <row r="236">
          <cell r="C236" t="str">
            <v>31235 UJUÉ</v>
          </cell>
        </row>
        <row r="237">
          <cell r="C237" t="str">
            <v>31236 ULTZAMA</v>
          </cell>
        </row>
        <row r="238">
          <cell r="C238" t="str">
            <v>31237 UNCITI</v>
          </cell>
        </row>
        <row r="239">
          <cell r="C239" t="str">
            <v>31238 UNZUÉ</v>
          </cell>
        </row>
        <row r="240">
          <cell r="C240" t="str">
            <v>31239 URDAZUBI / URDAX</v>
          </cell>
        </row>
        <row r="241">
          <cell r="C241" t="str">
            <v>31240 URDIAIN</v>
          </cell>
        </row>
        <row r="242">
          <cell r="C242" t="str">
            <v>31241 URRAÚL ALTO</v>
          </cell>
        </row>
        <row r="243">
          <cell r="C243" t="str">
            <v>31242 URRAÚL BAJO</v>
          </cell>
        </row>
        <row r="244">
          <cell r="C244" t="str">
            <v>31243 URROZ</v>
          </cell>
        </row>
        <row r="245">
          <cell r="C245" t="str">
            <v>31244 URROTZ</v>
          </cell>
        </row>
        <row r="246">
          <cell r="C246" t="str">
            <v>31245 URZAINQUI</v>
          </cell>
        </row>
        <row r="247">
          <cell r="C247" t="str">
            <v>31246 UTERGA</v>
          </cell>
        </row>
        <row r="248">
          <cell r="C248" t="str">
            <v>31247 UZTÁRROZ</v>
          </cell>
        </row>
        <row r="249">
          <cell r="C249" t="str">
            <v>31248 LUZAIDE / VALCARLOS</v>
          </cell>
        </row>
        <row r="250">
          <cell r="C250" t="str">
            <v>31249 VALTIERRA</v>
          </cell>
        </row>
        <row r="251">
          <cell r="C251" t="str">
            <v>31250 BERA / VERA DE BIDASOA</v>
          </cell>
        </row>
        <row r="252">
          <cell r="C252" t="str">
            <v>31251 VIANA</v>
          </cell>
        </row>
        <row r="253">
          <cell r="C253" t="str">
            <v>31252 VIDÁNGOZ</v>
          </cell>
        </row>
        <row r="254">
          <cell r="C254" t="str">
            <v>31253 VIDAURRETA</v>
          </cell>
        </row>
        <row r="255">
          <cell r="C255" t="str">
            <v>31254 VILLAFRANCA</v>
          </cell>
        </row>
        <row r="256">
          <cell r="C256" t="str">
            <v>31255 VILLAMAYOR DE MONJARDÍN</v>
          </cell>
        </row>
        <row r="257">
          <cell r="C257" t="str">
            <v>31256 HIRIBERRI /  VILLANUEVA DE AEZKOA</v>
          </cell>
        </row>
        <row r="258">
          <cell r="C258" t="str">
            <v>31257 VILLATUERTA</v>
          </cell>
        </row>
        <row r="259">
          <cell r="C259" t="str">
            <v>31258 VILLAVA</v>
          </cell>
        </row>
        <row r="260">
          <cell r="C260" t="str">
            <v>31259 IGANTZI</v>
          </cell>
        </row>
        <row r="261">
          <cell r="C261" t="str">
            <v>31260 YERRI</v>
          </cell>
        </row>
        <row r="262">
          <cell r="C262" t="str">
            <v>31261 YESA</v>
          </cell>
        </row>
        <row r="263">
          <cell r="C263" t="str">
            <v>31262 ZABALZA</v>
          </cell>
        </row>
        <row r="264">
          <cell r="C264" t="str">
            <v>31263 ZUBIETA</v>
          </cell>
        </row>
        <row r="265">
          <cell r="C265" t="str">
            <v>31264 ZUGARRAMURDI</v>
          </cell>
        </row>
        <row r="266">
          <cell r="C266" t="str">
            <v>31265 ZÚÑIGA</v>
          </cell>
        </row>
        <row r="267">
          <cell r="C267" t="str">
            <v>31901 BARAÑAIN</v>
          </cell>
        </row>
        <row r="268">
          <cell r="C268" t="str">
            <v>31902 BERRIOPLANO</v>
          </cell>
        </row>
        <row r="269">
          <cell r="C269" t="str">
            <v>31903 BERRIOZAR</v>
          </cell>
        </row>
        <row r="270">
          <cell r="C270" t="str">
            <v>31904 IRURTZUN</v>
          </cell>
        </row>
        <row r="271">
          <cell r="C271" t="str">
            <v>31905 BERIÁIN</v>
          </cell>
        </row>
        <row r="272">
          <cell r="C272" t="str">
            <v>31906 ORCOYEN</v>
          </cell>
        </row>
        <row r="273">
          <cell r="C273" t="str">
            <v>31907 ZIZUR MAYOR</v>
          </cell>
        </row>
        <row r="274">
          <cell r="C274" t="str">
            <v>31908 LEKUNBERRI</v>
          </cell>
        </row>
        <row r="275">
          <cell r="C275" t="str">
            <v>31000 TERRIT.CEDERNA</v>
          </cell>
        </row>
        <row r="276">
          <cell r="C276" t="str">
            <v>31000 TERRIT.EDER</v>
          </cell>
        </row>
        <row r="277">
          <cell r="C277" t="str">
            <v>31000 TERRIT.TEDER</v>
          </cell>
        </row>
        <row r="278">
          <cell r="C278" t="str">
            <v>31000 TERRIT.ZONA MEDIA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REMACIÓN PROYECTO"/>
      <sheetName val="Referencias Productivos"/>
      <sheetName val="Hoja1"/>
    </sheetNames>
    <sheetDataSet>
      <sheetData sheetId="0"/>
      <sheetData sheetId="1">
        <row r="7">
          <cell r="B7" t="str">
            <v xml:space="preserve">Ablitas </v>
          </cell>
          <cell r="C7">
            <v>2484</v>
          </cell>
          <cell r="D7">
            <v>1</v>
          </cell>
          <cell r="E7">
            <v>0.94484594903004948</v>
          </cell>
          <cell r="F7">
            <v>0.75</v>
          </cell>
          <cell r="G7">
            <v>32.093023255813954</v>
          </cell>
          <cell r="H7">
            <v>0.5</v>
          </cell>
          <cell r="I7">
            <v>0.13083735909822866</v>
          </cell>
          <cell r="J7">
            <v>1</v>
          </cell>
          <cell r="K7">
            <v>28.5</v>
          </cell>
          <cell r="L7">
            <v>1.25</v>
          </cell>
          <cell r="M7">
            <v>103.10711365494684</v>
          </cell>
          <cell r="N7">
            <v>1</v>
          </cell>
          <cell r="O7">
            <v>0.1388888888888889</v>
          </cell>
          <cell r="P7">
            <v>1</v>
          </cell>
          <cell r="Q7">
            <v>11.76</v>
          </cell>
          <cell r="R7">
            <v>1.75</v>
          </cell>
          <cell r="S7">
            <v>0.3946348631239936</v>
          </cell>
          <cell r="T7">
            <v>1.25</v>
          </cell>
          <cell r="U7">
            <v>0.38717793880837359</v>
          </cell>
          <cell r="V7">
            <v>1.75</v>
          </cell>
          <cell r="W7">
            <v>8.307238902191931E-2</v>
          </cell>
          <cell r="X7">
            <v>0.5</v>
          </cell>
          <cell r="Y7">
            <v>11.75</v>
          </cell>
          <cell r="Z7" t="str">
            <v>Con limitación</v>
          </cell>
          <cell r="AA7">
            <v>0.25</v>
          </cell>
          <cell r="AB7">
            <v>15.954311633917905</v>
          </cell>
          <cell r="AC7">
            <v>1.5</v>
          </cell>
          <cell r="AD7">
            <v>0.39625322997416018</v>
          </cell>
          <cell r="AE7">
            <v>3.25</v>
          </cell>
          <cell r="AF7">
            <v>5</v>
          </cell>
          <cell r="AG7">
            <v>16.75</v>
          </cell>
        </row>
        <row r="8">
          <cell r="B8" t="str">
            <v xml:space="preserve">Arguedas </v>
          </cell>
          <cell r="C8">
            <v>2287</v>
          </cell>
          <cell r="D8">
            <v>1</v>
          </cell>
          <cell r="E8">
            <v>0.96092436974789919</v>
          </cell>
          <cell r="F8">
            <v>0.75</v>
          </cell>
          <cell r="G8">
            <v>34.442771084337345</v>
          </cell>
          <cell r="H8">
            <v>0.5</v>
          </cell>
          <cell r="I8">
            <v>0.14516834280717097</v>
          </cell>
          <cell r="J8">
            <v>1</v>
          </cell>
          <cell r="K8">
            <v>29.2</v>
          </cell>
          <cell r="L8">
            <v>1.25</v>
          </cell>
          <cell r="M8">
            <v>105.66546762589928</v>
          </cell>
          <cell r="N8">
            <v>1</v>
          </cell>
          <cell r="O8">
            <v>0.15566243987756886</v>
          </cell>
          <cell r="P8">
            <v>1.5</v>
          </cell>
          <cell r="Q8">
            <v>9.31</v>
          </cell>
          <cell r="R8">
            <v>1</v>
          </cell>
          <cell r="S8">
            <v>0.3980355050284215</v>
          </cell>
          <cell r="T8">
            <v>1.25</v>
          </cell>
          <cell r="U8">
            <v>0.44490599038041101</v>
          </cell>
          <cell r="V8">
            <v>1.5</v>
          </cell>
          <cell r="W8">
            <v>0.13979505499670958</v>
          </cell>
          <cell r="X8">
            <v>1</v>
          </cell>
          <cell r="Y8">
            <v>11.75</v>
          </cell>
          <cell r="Z8" t="str">
            <v>ordinaria</v>
          </cell>
          <cell r="AA8">
            <v>0</v>
          </cell>
          <cell r="AB8">
            <v>13.406559864162986</v>
          </cell>
          <cell r="AC8">
            <v>1.5</v>
          </cell>
          <cell r="AD8">
            <v>0.48554216867469879</v>
          </cell>
          <cell r="AE8">
            <v>3.25</v>
          </cell>
          <cell r="AF8">
            <v>4.75</v>
          </cell>
          <cell r="AG8">
            <v>16.5</v>
          </cell>
        </row>
        <row r="9">
          <cell r="B9" t="str">
            <v xml:space="preserve">Azagra </v>
          </cell>
          <cell r="C9">
            <v>3840</v>
          </cell>
          <cell r="D9">
            <v>0.75</v>
          </cell>
          <cell r="E9">
            <v>0.99792099792099798</v>
          </cell>
          <cell r="F9">
            <v>0.75</v>
          </cell>
          <cell r="G9">
            <v>115.31531531531533</v>
          </cell>
          <cell r="H9">
            <v>0.25</v>
          </cell>
          <cell r="I9">
            <v>0.15963541666666667</v>
          </cell>
          <cell r="J9">
            <v>0.75</v>
          </cell>
          <cell r="K9">
            <v>26.2</v>
          </cell>
          <cell r="L9">
            <v>1.25</v>
          </cell>
          <cell r="M9">
            <v>102.31822971548998</v>
          </cell>
          <cell r="N9">
            <v>1</v>
          </cell>
          <cell r="O9">
            <v>0.18281249999999999</v>
          </cell>
          <cell r="P9">
            <v>1.5</v>
          </cell>
          <cell r="Q9">
            <v>7.43</v>
          </cell>
          <cell r="R9">
            <v>1</v>
          </cell>
          <cell r="S9">
            <v>0.42823320312499996</v>
          </cell>
          <cell r="T9">
            <v>1</v>
          </cell>
          <cell r="U9">
            <v>0.54010416666666672</v>
          </cell>
          <cell r="V9">
            <v>1.5</v>
          </cell>
          <cell r="W9">
            <v>0.15957853360266416</v>
          </cell>
          <cell r="X9">
            <v>1</v>
          </cell>
          <cell r="Y9">
            <v>10.75</v>
          </cell>
          <cell r="Z9" t="str">
            <v>ordinaria</v>
          </cell>
          <cell r="AA9">
            <v>0</v>
          </cell>
          <cell r="AB9">
            <v>34.280946355063008</v>
          </cell>
          <cell r="AC9">
            <v>1.5</v>
          </cell>
          <cell r="AD9">
            <v>0</v>
          </cell>
          <cell r="AE9">
            <v>2.25</v>
          </cell>
          <cell r="AF9">
            <v>3.75</v>
          </cell>
          <cell r="AG9">
            <v>14.5</v>
          </cell>
        </row>
        <row r="10">
          <cell r="B10" t="str">
            <v xml:space="preserve">Barillas </v>
          </cell>
          <cell r="C10">
            <v>221</v>
          </cell>
          <cell r="D10">
            <v>1.5</v>
          </cell>
          <cell r="E10">
            <v>1.1693121693121693</v>
          </cell>
          <cell r="F10">
            <v>0</v>
          </cell>
          <cell r="G10">
            <v>73.666666666666671</v>
          </cell>
          <cell r="H10">
            <v>0.25</v>
          </cell>
          <cell r="I10">
            <v>0.15837104072398189</v>
          </cell>
          <cell r="J10">
            <v>0.75</v>
          </cell>
          <cell r="K10">
            <v>30.3</v>
          </cell>
          <cell r="L10">
            <v>1.5</v>
          </cell>
          <cell r="M10">
            <v>121</v>
          </cell>
          <cell r="N10">
            <v>1</v>
          </cell>
          <cell r="O10">
            <v>0.10407239819004525</v>
          </cell>
          <cell r="P10">
            <v>1</v>
          </cell>
          <cell r="Q10">
            <v>13.4</v>
          </cell>
          <cell r="R10">
            <v>1.75</v>
          </cell>
          <cell r="S10">
            <v>0.3461864253393665</v>
          </cell>
          <cell r="T10">
            <v>1.5</v>
          </cell>
          <cell r="U10">
            <v>0.27714932126696834</v>
          </cell>
          <cell r="V10">
            <v>2</v>
          </cell>
          <cell r="W10">
            <v>5.7471264367816098E-2</v>
          </cell>
          <cell r="X10">
            <v>0.5</v>
          </cell>
          <cell r="Y10">
            <v>11.75</v>
          </cell>
          <cell r="Z10" t="str">
            <v>ordinaria</v>
          </cell>
          <cell r="AA10">
            <v>0</v>
          </cell>
          <cell r="AB10">
            <v>17.692900910465802</v>
          </cell>
          <cell r="AC10">
            <v>1.5</v>
          </cell>
          <cell r="AD10">
            <v>0</v>
          </cell>
          <cell r="AE10">
            <v>2.25</v>
          </cell>
          <cell r="AF10">
            <v>3.75</v>
          </cell>
          <cell r="AG10">
            <v>15.5</v>
          </cell>
        </row>
        <row r="11">
          <cell r="B11" t="str">
            <v xml:space="preserve">Buñuel </v>
          </cell>
          <cell r="C11">
            <v>2195</v>
          </cell>
          <cell r="D11">
            <v>1</v>
          </cell>
          <cell r="E11">
            <v>0.92033542976939209</v>
          </cell>
          <cell r="F11">
            <v>0.75</v>
          </cell>
          <cell r="G11">
            <v>60.635359116022094</v>
          </cell>
          <cell r="H11">
            <v>0.25</v>
          </cell>
          <cell r="I11">
            <v>0.11890660592255126</v>
          </cell>
          <cell r="J11">
            <v>1</v>
          </cell>
          <cell r="K11">
            <v>32.1</v>
          </cell>
          <cell r="L11">
            <v>1.5</v>
          </cell>
          <cell r="M11">
            <v>96.157283288650589</v>
          </cell>
          <cell r="N11">
            <v>0.75</v>
          </cell>
          <cell r="O11">
            <v>0.10888382687927108</v>
          </cell>
          <cell r="P11">
            <v>1</v>
          </cell>
          <cell r="Q11">
            <v>9.5399999999999991</v>
          </cell>
          <cell r="R11">
            <v>1</v>
          </cell>
          <cell r="S11">
            <v>0.3932947608200455</v>
          </cell>
          <cell r="T11">
            <v>1.25</v>
          </cell>
          <cell r="U11">
            <v>0.38257403189066058</v>
          </cell>
          <cell r="V11">
            <v>1.75</v>
          </cell>
          <cell r="W11">
            <v>0.1533529535421484</v>
          </cell>
          <cell r="X11">
            <v>1</v>
          </cell>
          <cell r="Y11">
            <v>11.25</v>
          </cell>
          <cell r="Z11" t="str">
            <v>ordinaria</v>
          </cell>
          <cell r="AA11">
            <v>0</v>
          </cell>
          <cell r="AB11">
            <v>20.707634014120305</v>
          </cell>
          <cell r="AC11">
            <v>1.5</v>
          </cell>
          <cell r="AD11">
            <v>5.8839779005524853E-2</v>
          </cell>
          <cell r="AE11">
            <v>2.25</v>
          </cell>
          <cell r="AF11">
            <v>3.75</v>
          </cell>
          <cell r="AG11">
            <v>15</v>
          </cell>
        </row>
        <row r="12">
          <cell r="B12" t="str">
            <v xml:space="preserve">Cabanillas </v>
          </cell>
          <cell r="C12">
            <v>1351</v>
          </cell>
          <cell r="D12">
            <v>1</v>
          </cell>
          <cell r="E12">
            <v>0.90793010752688175</v>
          </cell>
          <cell r="F12">
            <v>0.75</v>
          </cell>
          <cell r="G12">
            <v>37.843137254901954</v>
          </cell>
          <cell r="H12">
            <v>0.5</v>
          </cell>
          <cell r="I12">
            <v>0.10954848260547742</v>
          </cell>
          <cell r="J12">
            <v>1</v>
          </cell>
          <cell r="K12">
            <v>30.7</v>
          </cell>
          <cell r="L12">
            <v>1.5</v>
          </cell>
          <cell r="M12">
            <v>111.42410015649453</v>
          </cell>
          <cell r="N12">
            <v>1</v>
          </cell>
          <cell r="O12">
            <v>0.13175425610658772</v>
          </cell>
          <cell r="P12">
            <v>1</v>
          </cell>
          <cell r="Q12">
            <v>5.49</v>
          </cell>
          <cell r="R12">
            <v>1</v>
          </cell>
          <cell r="S12">
            <v>0.44413456698741671</v>
          </cell>
          <cell r="T12">
            <v>1</v>
          </cell>
          <cell r="U12">
            <v>0.46965210954848263</v>
          </cell>
          <cell r="V12">
            <v>1.5</v>
          </cell>
          <cell r="W12">
            <v>0.17453974596831739</v>
          </cell>
          <cell r="X12">
            <v>1</v>
          </cell>
          <cell r="Y12">
            <v>11.25</v>
          </cell>
          <cell r="Z12" t="str">
            <v>ordinaria</v>
          </cell>
          <cell r="AA12">
            <v>0</v>
          </cell>
          <cell r="AB12">
            <v>10.178906756169836</v>
          </cell>
          <cell r="AC12">
            <v>1.25</v>
          </cell>
          <cell r="AD12">
            <v>0.45602240896358542</v>
          </cell>
          <cell r="AE12">
            <v>3.25</v>
          </cell>
          <cell r="AF12">
            <v>4.5</v>
          </cell>
          <cell r="AG12">
            <v>15.75</v>
          </cell>
        </row>
        <row r="13">
          <cell r="B13" t="str">
            <v xml:space="preserve">Cadreita </v>
          </cell>
          <cell r="C13">
            <v>2045</v>
          </cell>
          <cell r="D13">
            <v>1</v>
          </cell>
          <cell r="E13">
            <v>0.95516113965436711</v>
          </cell>
          <cell r="F13">
            <v>0.75</v>
          </cell>
          <cell r="G13">
            <v>74.908424908424905</v>
          </cell>
          <cell r="H13">
            <v>0.25</v>
          </cell>
          <cell r="I13">
            <v>0.13789731051344745</v>
          </cell>
          <cell r="J13">
            <v>1</v>
          </cell>
          <cell r="K13">
            <v>26.9</v>
          </cell>
          <cell r="L13">
            <v>1.25</v>
          </cell>
          <cell r="M13">
            <v>108.46075433231397</v>
          </cell>
          <cell r="N13">
            <v>1</v>
          </cell>
          <cell r="O13">
            <v>0.23080684596577017</v>
          </cell>
          <cell r="P13">
            <v>2</v>
          </cell>
          <cell r="Q13">
            <v>5.48</v>
          </cell>
          <cell r="R13">
            <v>1</v>
          </cell>
          <cell r="S13">
            <v>0.43292176039119806</v>
          </cell>
          <cell r="T13">
            <v>1</v>
          </cell>
          <cell r="U13">
            <v>0.54706601466992666</v>
          </cell>
          <cell r="V13">
            <v>1.5</v>
          </cell>
          <cell r="W13">
            <v>0.21576288954541123</v>
          </cell>
          <cell r="X13">
            <v>1</v>
          </cell>
          <cell r="Y13">
            <v>11.75</v>
          </cell>
          <cell r="Z13" t="str">
            <v>ordinaria</v>
          </cell>
          <cell r="AA13">
            <v>0</v>
          </cell>
          <cell r="AB13">
            <v>20.328091000455355</v>
          </cell>
          <cell r="AC13">
            <v>1.5</v>
          </cell>
          <cell r="AD13">
            <v>0</v>
          </cell>
          <cell r="AE13">
            <v>2.25</v>
          </cell>
          <cell r="AF13">
            <v>3.75</v>
          </cell>
          <cell r="AG13">
            <v>15.5</v>
          </cell>
        </row>
        <row r="14">
          <cell r="B14" t="str">
            <v xml:space="preserve">Cascante </v>
          </cell>
          <cell r="C14">
            <v>3952</v>
          </cell>
          <cell r="D14">
            <v>0.75</v>
          </cell>
          <cell r="E14">
            <v>0.98824706176544141</v>
          </cell>
          <cell r="F14">
            <v>0.75</v>
          </cell>
          <cell r="G14">
            <v>62.630744849445321</v>
          </cell>
          <cell r="H14">
            <v>0.25</v>
          </cell>
          <cell r="I14">
            <v>0.1604251012145749</v>
          </cell>
          <cell r="J14">
            <v>0.75</v>
          </cell>
          <cell r="K14">
            <v>28.8</v>
          </cell>
          <cell r="L14">
            <v>1.25</v>
          </cell>
          <cell r="M14">
            <v>98.194583751253759</v>
          </cell>
          <cell r="N14">
            <v>0.75</v>
          </cell>
          <cell r="O14">
            <v>0.1707995951417004</v>
          </cell>
          <cell r="P14">
            <v>1.5</v>
          </cell>
          <cell r="Q14">
            <v>11.93</v>
          </cell>
          <cell r="R14">
            <v>1.75</v>
          </cell>
          <cell r="S14">
            <v>0.37331113360323886</v>
          </cell>
          <cell r="T14">
            <v>1.25</v>
          </cell>
          <cell r="U14">
            <v>0.35115131578947367</v>
          </cell>
          <cell r="V14">
            <v>1.75</v>
          </cell>
          <cell r="W14">
            <v>6.5111374719915655E-2</v>
          </cell>
          <cell r="X14">
            <v>0.5</v>
          </cell>
          <cell r="Y14">
            <v>11.25</v>
          </cell>
          <cell r="Z14" t="str">
            <v>ordinaria</v>
          </cell>
          <cell r="AA14">
            <v>0</v>
          </cell>
          <cell r="AB14">
            <v>16.56860564610362</v>
          </cell>
          <cell r="AC14">
            <v>1.5</v>
          </cell>
          <cell r="AD14">
            <v>3.3280507131537239E-3</v>
          </cell>
          <cell r="AE14">
            <v>2.25</v>
          </cell>
          <cell r="AF14">
            <v>3.75</v>
          </cell>
          <cell r="AG14">
            <v>15</v>
          </cell>
        </row>
        <row r="15">
          <cell r="B15" t="str">
            <v xml:space="preserve">Castejón </v>
          </cell>
          <cell r="C15">
            <v>4251</v>
          </cell>
          <cell r="D15">
            <v>0.75</v>
          </cell>
          <cell r="E15">
            <v>0.98722712494194143</v>
          </cell>
          <cell r="F15">
            <v>0.75</v>
          </cell>
          <cell r="G15">
            <v>231.03260869565219</v>
          </cell>
          <cell r="H15">
            <v>0.25</v>
          </cell>
          <cell r="I15">
            <v>0.19595389320159962</v>
          </cell>
          <cell r="J15">
            <v>0.75</v>
          </cell>
          <cell r="K15">
            <v>23.9</v>
          </cell>
          <cell r="L15">
            <v>1</v>
          </cell>
          <cell r="M15">
            <v>100.51886792452831</v>
          </cell>
          <cell r="N15">
            <v>1</v>
          </cell>
          <cell r="O15">
            <v>0.23829687132439425</v>
          </cell>
          <cell r="P15">
            <v>2</v>
          </cell>
          <cell r="Q15">
            <v>14.83</v>
          </cell>
          <cell r="R15">
            <v>1.75</v>
          </cell>
          <cell r="S15">
            <v>0.34747113620324627</v>
          </cell>
          <cell r="T15">
            <v>1.5</v>
          </cell>
          <cell r="U15">
            <v>0.33586215008233355</v>
          </cell>
          <cell r="V15">
            <v>2</v>
          </cell>
          <cell r="W15">
            <v>4.165853023498016E-2</v>
          </cell>
          <cell r="X15">
            <v>0.5</v>
          </cell>
          <cell r="Y15">
            <v>12.25</v>
          </cell>
          <cell r="Z15" t="str">
            <v>ordinaria</v>
          </cell>
          <cell r="AA15">
            <v>0</v>
          </cell>
          <cell r="AB15">
            <v>17.58449761015472</v>
          </cell>
          <cell r="AC15">
            <v>1.5</v>
          </cell>
          <cell r="AD15">
            <v>8.8586956521739132E-2</v>
          </cell>
          <cell r="AE15">
            <v>2.25</v>
          </cell>
          <cell r="AF15">
            <v>3.75</v>
          </cell>
          <cell r="AG15">
            <v>16</v>
          </cell>
        </row>
        <row r="16">
          <cell r="B16" t="str">
            <v xml:space="preserve">Cintruénigo </v>
          </cell>
          <cell r="C16">
            <v>8026</v>
          </cell>
          <cell r="D16">
            <v>0.25</v>
          </cell>
          <cell r="E16">
            <v>1.0369509043927649</v>
          </cell>
          <cell r="F16">
            <v>0</v>
          </cell>
          <cell r="G16">
            <v>215.17426273458446</v>
          </cell>
          <cell r="H16">
            <v>0.25</v>
          </cell>
          <cell r="I16">
            <v>0.18352853227012211</v>
          </cell>
          <cell r="J16">
            <v>0.75</v>
          </cell>
          <cell r="K16">
            <v>22.6</v>
          </cell>
          <cell r="L16">
            <v>1</v>
          </cell>
          <cell r="M16">
            <v>105.37359263050155</v>
          </cell>
          <cell r="N16">
            <v>1</v>
          </cell>
          <cell r="O16">
            <v>0.23635684026912535</v>
          </cell>
          <cell r="P16">
            <v>2</v>
          </cell>
          <cell r="Q16">
            <v>12.95</v>
          </cell>
          <cell r="R16">
            <v>1.75</v>
          </cell>
          <cell r="S16">
            <v>0.37504928980812358</v>
          </cell>
          <cell r="T16">
            <v>1.25</v>
          </cell>
          <cell r="U16">
            <v>0.36341265885870921</v>
          </cell>
          <cell r="V16">
            <v>1.75</v>
          </cell>
          <cell r="W16">
            <v>6.3415086180268129E-2</v>
          </cell>
          <cell r="X16">
            <v>0.5</v>
          </cell>
          <cell r="Y16">
            <v>10.5</v>
          </cell>
          <cell r="Z16" t="str">
            <v>ordinaria</v>
          </cell>
          <cell r="AA16">
            <v>0</v>
          </cell>
          <cell r="AB16">
            <v>20.14364114713868</v>
          </cell>
          <cell r="AC16">
            <v>1.5</v>
          </cell>
          <cell r="AD16">
            <v>0</v>
          </cell>
          <cell r="AE16">
            <v>2.25</v>
          </cell>
          <cell r="AF16">
            <v>3.75</v>
          </cell>
          <cell r="AG16">
            <v>14.25</v>
          </cell>
        </row>
        <row r="17">
          <cell r="B17" t="str">
            <v xml:space="preserve">Corella </v>
          </cell>
          <cell r="C17">
            <v>8100</v>
          </cell>
          <cell r="D17">
            <v>0.25</v>
          </cell>
          <cell r="E17">
            <v>1.0029717682020802</v>
          </cell>
          <cell r="F17">
            <v>0</v>
          </cell>
          <cell r="G17">
            <v>99.8766954377312</v>
          </cell>
          <cell r="H17">
            <v>0.25</v>
          </cell>
          <cell r="I17">
            <v>0.16123456790123455</v>
          </cell>
          <cell r="J17">
            <v>0.75</v>
          </cell>
          <cell r="K17">
            <v>24.1</v>
          </cell>
          <cell r="L17">
            <v>1</v>
          </cell>
          <cell r="M17">
            <v>100.99255583126552</v>
          </cell>
          <cell r="N17">
            <v>1</v>
          </cell>
          <cell r="O17">
            <v>0.23950617283950618</v>
          </cell>
          <cell r="P17">
            <v>2</v>
          </cell>
          <cell r="Q17">
            <v>13.1</v>
          </cell>
          <cell r="R17">
            <v>1.75</v>
          </cell>
          <cell r="S17">
            <v>0.37986722222222219</v>
          </cell>
          <cell r="T17">
            <v>1.25</v>
          </cell>
          <cell r="U17">
            <v>0.3527469135802469</v>
          </cell>
          <cell r="V17">
            <v>1.75</v>
          </cell>
          <cell r="W17">
            <v>4.7739477956787811E-2</v>
          </cell>
          <cell r="X17">
            <v>0.5</v>
          </cell>
          <cell r="Y17">
            <v>10.5</v>
          </cell>
          <cell r="Z17" t="str">
            <v>ordinaria</v>
          </cell>
          <cell r="AA17">
            <v>0</v>
          </cell>
          <cell r="AB17">
            <v>20.045335855581182</v>
          </cell>
          <cell r="AC17">
            <v>1.5</v>
          </cell>
          <cell r="AD17">
            <v>0</v>
          </cell>
          <cell r="AE17">
            <v>2.25</v>
          </cell>
          <cell r="AF17">
            <v>3.75</v>
          </cell>
          <cell r="AG17">
            <v>14.25</v>
          </cell>
        </row>
        <row r="18">
          <cell r="B18" t="str">
            <v xml:space="preserve">Cortes </v>
          </cell>
          <cell r="C18">
            <v>3178</v>
          </cell>
          <cell r="D18">
            <v>0.75</v>
          </cell>
          <cell r="E18">
            <v>0.93333333333333335</v>
          </cell>
          <cell r="F18">
            <v>0.75</v>
          </cell>
          <cell r="G18">
            <v>86.594005449591279</v>
          </cell>
          <cell r="H18">
            <v>0.25</v>
          </cell>
          <cell r="I18">
            <v>0.13467589679043424</v>
          </cell>
          <cell r="J18">
            <v>1</v>
          </cell>
          <cell r="K18">
            <v>30</v>
          </cell>
          <cell r="L18">
            <v>1.5</v>
          </cell>
          <cell r="M18">
            <v>105.29715762273901</v>
          </cell>
          <cell r="N18">
            <v>1</v>
          </cell>
          <cell r="O18">
            <v>0.11674008810572688</v>
          </cell>
          <cell r="P18">
            <v>1</v>
          </cell>
          <cell r="Q18">
            <v>9.11</v>
          </cell>
          <cell r="R18">
            <v>1</v>
          </cell>
          <cell r="S18">
            <v>0.41136683448709876</v>
          </cell>
          <cell r="T18">
            <v>1</v>
          </cell>
          <cell r="U18">
            <v>0.37586532410320955</v>
          </cell>
          <cell r="V18">
            <v>1.75</v>
          </cell>
          <cell r="W18">
            <v>0.13098278276629047</v>
          </cell>
          <cell r="X18">
            <v>1</v>
          </cell>
          <cell r="Y18">
            <v>11</v>
          </cell>
          <cell r="Z18" t="str">
            <v>ordinaria</v>
          </cell>
          <cell r="AA18">
            <v>0</v>
          </cell>
          <cell r="AB18">
            <v>22.594698055123523</v>
          </cell>
          <cell r="AC18">
            <v>1.5</v>
          </cell>
          <cell r="AD18">
            <v>2.9700272479564034E-2</v>
          </cell>
          <cell r="AE18">
            <v>2.25</v>
          </cell>
          <cell r="AF18">
            <v>3.75</v>
          </cell>
          <cell r="AG18">
            <v>14.75</v>
          </cell>
        </row>
        <row r="19">
          <cell r="B19" t="str">
            <v xml:space="preserve">Falces </v>
          </cell>
          <cell r="C19">
            <v>2336</v>
          </cell>
          <cell r="D19">
            <v>1</v>
          </cell>
          <cell r="E19">
            <v>0.88150943396226411</v>
          </cell>
          <cell r="F19">
            <v>1</v>
          </cell>
          <cell r="G19">
            <v>20.31304347826087</v>
          </cell>
          <cell r="H19">
            <v>0.5</v>
          </cell>
          <cell r="I19">
            <v>0.12842465753424659</v>
          </cell>
          <cell r="J19">
            <v>1</v>
          </cell>
          <cell r="K19">
            <v>34</v>
          </cell>
          <cell r="L19">
            <v>1.5</v>
          </cell>
          <cell r="M19">
            <v>105.99647266313934</v>
          </cell>
          <cell r="N19">
            <v>1</v>
          </cell>
          <cell r="O19">
            <v>0.15368150684931506</v>
          </cell>
          <cell r="P19">
            <v>1.5</v>
          </cell>
          <cell r="Q19">
            <v>10.76</v>
          </cell>
          <cell r="R19">
            <v>1.75</v>
          </cell>
          <cell r="S19">
            <v>0.37572825342465754</v>
          </cell>
          <cell r="T19">
            <v>1.25</v>
          </cell>
          <cell r="U19">
            <v>0.41309931506849318</v>
          </cell>
          <cell r="V19">
            <v>1.5</v>
          </cell>
          <cell r="W19">
            <v>0.15333206033988925</v>
          </cell>
          <cell r="X19">
            <v>1</v>
          </cell>
          <cell r="Y19">
            <v>13</v>
          </cell>
          <cell r="Z19" t="str">
            <v>Con limitación</v>
          </cell>
          <cell r="AA19">
            <v>0.25</v>
          </cell>
          <cell r="AB19">
            <v>37.706298615164251</v>
          </cell>
          <cell r="AC19">
            <v>1.5</v>
          </cell>
          <cell r="AD19">
            <v>0.42913043478260871</v>
          </cell>
          <cell r="AE19">
            <v>3.25</v>
          </cell>
          <cell r="AF19">
            <v>5</v>
          </cell>
          <cell r="AG19">
            <v>18</v>
          </cell>
        </row>
        <row r="20">
          <cell r="B20" t="str">
            <v xml:space="preserve">Fitero </v>
          </cell>
          <cell r="C20">
            <v>2080</v>
          </cell>
          <cell r="D20">
            <v>1</v>
          </cell>
          <cell r="E20">
            <v>0.89193825042881647</v>
          </cell>
          <cell r="F20">
            <v>1</v>
          </cell>
          <cell r="G20">
            <v>48.148148148148145</v>
          </cell>
          <cell r="H20">
            <v>0.5</v>
          </cell>
          <cell r="I20">
            <v>0.16057692307692309</v>
          </cell>
          <cell r="J20">
            <v>0.75</v>
          </cell>
          <cell r="K20">
            <v>33.700000000000003</v>
          </cell>
          <cell r="L20">
            <v>1.5</v>
          </cell>
          <cell r="M20">
            <v>99.424736337488014</v>
          </cell>
          <cell r="N20">
            <v>0.75</v>
          </cell>
          <cell r="O20">
            <v>0.18990384615384615</v>
          </cell>
          <cell r="P20">
            <v>1.5</v>
          </cell>
          <cell r="Q20">
            <v>16.62</v>
          </cell>
          <cell r="R20">
            <v>2</v>
          </cell>
          <cell r="S20">
            <v>0.30518024038461539</v>
          </cell>
          <cell r="T20">
            <v>1.5</v>
          </cell>
          <cell r="U20">
            <v>0.27848557692307691</v>
          </cell>
          <cell r="V20">
            <v>2</v>
          </cell>
          <cell r="W20">
            <v>9.2034606205250599E-2</v>
          </cell>
          <cell r="X20">
            <v>0.5</v>
          </cell>
          <cell r="Y20">
            <v>13</v>
          </cell>
          <cell r="Z20" t="str">
            <v>Con limitación</v>
          </cell>
          <cell r="AA20">
            <v>0.25</v>
          </cell>
          <cell r="AB20">
            <v>26.824713008377564</v>
          </cell>
          <cell r="AC20">
            <v>1.5</v>
          </cell>
          <cell r="AD20">
            <v>0</v>
          </cell>
          <cell r="AE20">
            <v>2.25</v>
          </cell>
          <cell r="AF20">
            <v>4</v>
          </cell>
          <cell r="AG20">
            <v>17</v>
          </cell>
        </row>
        <row r="21">
          <cell r="B21" t="str">
            <v xml:space="preserve">Fontellas </v>
          </cell>
          <cell r="C21">
            <v>993</v>
          </cell>
          <cell r="D21">
            <v>1.5</v>
          </cell>
          <cell r="E21">
            <v>1.0735135135135134</v>
          </cell>
          <cell r="F21">
            <v>0</v>
          </cell>
          <cell r="G21">
            <v>45.136363636363633</v>
          </cell>
          <cell r="H21">
            <v>0.5</v>
          </cell>
          <cell r="I21">
            <v>0.15609264853977844</v>
          </cell>
          <cell r="J21">
            <v>0.75</v>
          </cell>
          <cell r="K21">
            <v>23.9</v>
          </cell>
          <cell r="L21">
            <v>1</v>
          </cell>
          <cell r="M21">
            <v>99.798792756539228</v>
          </cell>
          <cell r="N21">
            <v>0.75</v>
          </cell>
          <cell r="O21">
            <v>0.13393756294058409</v>
          </cell>
          <cell r="P21">
            <v>1</v>
          </cell>
          <cell r="Q21">
            <v>6.29</v>
          </cell>
          <cell r="R21">
            <v>1</v>
          </cell>
          <cell r="S21">
            <v>0.45209566968781467</v>
          </cell>
          <cell r="T21">
            <v>1</v>
          </cell>
          <cell r="U21">
            <v>0.43403826787512589</v>
          </cell>
          <cell r="V21">
            <v>1.5</v>
          </cell>
          <cell r="W21">
            <v>0.14668265387689847</v>
          </cell>
          <cell r="X21">
            <v>1</v>
          </cell>
          <cell r="Y21">
            <v>10</v>
          </cell>
          <cell r="Z21" t="str">
            <v>ordinaria</v>
          </cell>
          <cell r="AA21">
            <v>0</v>
          </cell>
          <cell r="AB21">
            <v>9.2894893793277955</v>
          </cell>
          <cell r="AC21">
            <v>1.25</v>
          </cell>
          <cell r="AD21">
            <v>4.2272727272727274E-2</v>
          </cell>
          <cell r="AE21">
            <v>2.25</v>
          </cell>
          <cell r="AF21">
            <v>3.5</v>
          </cell>
          <cell r="AG21">
            <v>13.5</v>
          </cell>
        </row>
        <row r="22">
          <cell r="B22" t="str">
            <v xml:space="preserve">Funes </v>
          </cell>
          <cell r="C22">
            <v>2444</v>
          </cell>
          <cell r="D22">
            <v>1</v>
          </cell>
          <cell r="E22">
            <v>0.99877400899060076</v>
          </cell>
          <cell r="F22">
            <v>0.75</v>
          </cell>
          <cell r="G22">
            <v>46.375711574952561</v>
          </cell>
          <cell r="H22">
            <v>0.5</v>
          </cell>
          <cell r="I22">
            <v>0.161620294599018</v>
          </cell>
          <cell r="J22">
            <v>0.75</v>
          </cell>
          <cell r="K22">
            <v>26.3</v>
          </cell>
          <cell r="L22">
            <v>1.25</v>
          </cell>
          <cell r="M22">
            <v>112.15277777777777</v>
          </cell>
          <cell r="N22">
            <v>1</v>
          </cell>
          <cell r="O22">
            <v>0.22176759410801963</v>
          </cell>
          <cell r="P22">
            <v>2</v>
          </cell>
          <cell r="Q22">
            <v>8.52</v>
          </cell>
          <cell r="R22">
            <v>1</v>
          </cell>
          <cell r="S22">
            <v>0.40752111292962356</v>
          </cell>
          <cell r="T22">
            <v>1</v>
          </cell>
          <cell r="U22">
            <v>0.48046235679214405</v>
          </cell>
          <cell r="V22">
            <v>1.5</v>
          </cell>
          <cell r="W22">
            <v>0.18009855348911144</v>
          </cell>
          <cell r="X22">
            <v>1</v>
          </cell>
          <cell r="Y22">
            <v>11.75</v>
          </cell>
          <cell r="Z22" t="str">
            <v>ordinaria</v>
          </cell>
          <cell r="AA22">
            <v>0</v>
          </cell>
          <cell r="AB22">
            <v>35.311230065014904</v>
          </cell>
          <cell r="AC22">
            <v>1.5</v>
          </cell>
          <cell r="AD22">
            <v>6.8311195445920306E-2</v>
          </cell>
          <cell r="AE22">
            <v>2.25</v>
          </cell>
          <cell r="AF22">
            <v>3.75</v>
          </cell>
          <cell r="AG22">
            <v>15.5</v>
          </cell>
        </row>
        <row r="23">
          <cell r="B23" t="str">
            <v xml:space="preserve">Fustiñana </v>
          </cell>
          <cell r="C23">
            <v>2483</v>
          </cell>
          <cell r="D23">
            <v>1</v>
          </cell>
          <cell r="E23">
            <v>0.95573518090839105</v>
          </cell>
          <cell r="F23">
            <v>0.75</v>
          </cell>
          <cell r="G23">
            <v>37.004470938897171</v>
          </cell>
          <cell r="H23">
            <v>0.5</v>
          </cell>
          <cell r="I23">
            <v>0.13934756343133306</v>
          </cell>
          <cell r="J23">
            <v>1</v>
          </cell>
          <cell r="K23">
            <v>31.4</v>
          </cell>
          <cell r="L23">
            <v>1.5</v>
          </cell>
          <cell r="M23">
            <v>100.40355125100888</v>
          </cell>
          <cell r="N23">
            <v>1</v>
          </cell>
          <cell r="O23">
            <v>0.14861055175191301</v>
          </cell>
          <cell r="P23">
            <v>1</v>
          </cell>
          <cell r="Q23">
            <v>8.33</v>
          </cell>
          <cell r="R23">
            <v>1</v>
          </cell>
          <cell r="S23">
            <v>0.40875207410390657</v>
          </cell>
          <cell r="T23">
            <v>1</v>
          </cell>
          <cell r="U23">
            <v>0.42166733789770439</v>
          </cell>
          <cell r="V23">
            <v>1.5</v>
          </cell>
          <cell r="W23">
            <v>0.13262879788639367</v>
          </cell>
          <cell r="X23">
            <v>1</v>
          </cell>
          <cell r="Y23">
            <v>11.25</v>
          </cell>
          <cell r="Z23" t="str">
            <v>Con limitación</v>
          </cell>
          <cell r="AA23">
            <v>0.25</v>
          </cell>
          <cell r="AB23">
            <v>13.95016275210163</v>
          </cell>
          <cell r="AC23">
            <v>1.5</v>
          </cell>
          <cell r="AD23">
            <v>0.83144560357675112</v>
          </cell>
          <cell r="AE23">
            <v>3.25</v>
          </cell>
          <cell r="AF23">
            <v>5</v>
          </cell>
          <cell r="AG23">
            <v>16.25</v>
          </cell>
        </row>
        <row r="24">
          <cell r="B24" t="str">
            <v xml:space="preserve">Marcilla </v>
          </cell>
          <cell r="C24">
            <v>2864</v>
          </cell>
          <cell r="D24">
            <v>1</v>
          </cell>
          <cell r="E24">
            <v>1.0091613812544045</v>
          </cell>
          <cell r="F24">
            <v>0</v>
          </cell>
          <cell r="G24">
            <v>131.9815668202765</v>
          </cell>
          <cell r="H24">
            <v>0.25</v>
          </cell>
          <cell r="I24">
            <v>0.15956703910614525</v>
          </cell>
          <cell r="J24">
            <v>0.75</v>
          </cell>
          <cell r="K24">
            <v>26.6</v>
          </cell>
          <cell r="L24">
            <v>1.25</v>
          </cell>
          <cell r="M24">
            <v>99.721059972105991</v>
          </cell>
          <cell r="N24">
            <v>0.75</v>
          </cell>
          <cell r="O24">
            <v>0.20391061452513967</v>
          </cell>
          <cell r="P24">
            <v>2</v>
          </cell>
          <cell r="Q24">
            <v>9.5</v>
          </cell>
          <cell r="R24">
            <v>1</v>
          </cell>
          <cell r="S24">
            <v>0.39829839385474858</v>
          </cell>
          <cell r="T24">
            <v>1.25</v>
          </cell>
          <cell r="U24">
            <v>0.43610335195530725</v>
          </cell>
          <cell r="V24">
            <v>1.5</v>
          </cell>
          <cell r="W24">
            <v>8.5548172757475088E-2</v>
          </cell>
          <cell r="X24">
            <v>0.5</v>
          </cell>
          <cell r="Y24">
            <v>10.25</v>
          </cell>
          <cell r="Z24" t="str">
            <v>ordinaria</v>
          </cell>
          <cell r="AA24">
            <v>0</v>
          </cell>
          <cell r="AB24">
            <v>30.8179832102586</v>
          </cell>
          <cell r="AC24">
            <v>1.5</v>
          </cell>
          <cell r="AD24">
            <v>0.10875576036866359</v>
          </cell>
          <cell r="AE24">
            <v>2.75</v>
          </cell>
          <cell r="AF24">
            <v>4.25</v>
          </cell>
          <cell r="AG24">
            <v>14.5</v>
          </cell>
        </row>
        <row r="25">
          <cell r="B25" t="str">
            <v xml:space="preserve">Milagro </v>
          </cell>
          <cell r="C25">
            <v>3450</v>
          </cell>
          <cell r="D25">
            <v>0.75</v>
          </cell>
          <cell r="E25">
            <v>1.0105448154657293</v>
          </cell>
          <cell r="F25">
            <v>0</v>
          </cell>
          <cell r="G25">
            <v>121.05263157894737</v>
          </cell>
          <cell r="H25">
            <v>0.25</v>
          </cell>
          <cell r="I25">
            <v>0.1736231884057971</v>
          </cell>
          <cell r="J25">
            <v>0.75</v>
          </cell>
          <cell r="K25">
            <v>22</v>
          </cell>
          <cell r="L25">
            <v>1</v>
          </cell>
          <cell r="M25">
            <v>107.33173076923077</v>
          </cell>
          <cell r="N25">
            <v>1</v>
          </cell>
          <cell r="O25">
            <v>0.29478260869565215</v>
          </cell>
          <cell r="P25">
            <v>2</v>
          </cell>
          <cell r="Q25">
            <v>9.69</v>
          </cell>
          <cell r="R25">
            <v>1</v>
          </cell>
          <cell r="S25">
            <v>0.41230400000000006</v>
          </cell>
          <cell r="T25">
            <v>1</v>
          </cell>
          <cell r="U25">
            <v>0.5457971014492754</v>
          </cell>
          <cell r="V25">
            <v>1.5</v>
          </cell>
          <cell r="W25">
            <v>9.3852590923720614E-2</v>
          </cell>
          <cell r="X25">
            <v>0.5</v>
          </cell>
          <cell r="Y25">
            <v>9.75</v>
          </cell>
          <cell r="Z25" t="str">
            <v>ordinaria</v>
          </cell>
          <cell r="AA25">
            <v>0</v>
          </cell>
          <cell r="AB25">
            <v>25.565046409544216</v>
          </cell>
          <cell r="AC25">
            <v>1.5</v>
          </cell>
          <cell r="AD25">
            <v>8.2807017543859648E-2</v>
          </cell>
          <cell r="AE25">
            <v>2.25</v>
          </cell>
          <cell r="AF25">
            <v>3.75</v>
          </cell>
          <cell r="AG25">
            <v>13.5</v>
          </cell>
        </row>
        <row r="26">
          <cell r="B26" t="str">
            <v xml:space="preserve">Monteagudo </v>
          </cell>
          <cell r="C26">
            <v>1093</v>
          </cell>
          <cell r="D26">
            <v>1</v>
          </cell>
          <cell r="E26">
            <v>0.95458515283842793</v>
          </cell>
          <cell r="F26">
            <v>0.75</v>
          </cell>
          <cell r="G26">
            <v>100.27522935779817</v>
          </cell>
          <cell r="H26">
            <v>0.25</v>
          </cell>
          <cell r="I26">
            <v>0.10704483074107959</v>
          </cell>
          <cell r="J26">
            <v>1</v>
          </cell>
          <cell r="K26">
            <v>34.6</v>
          </cell>
          <cell r="L26">
            <v>1.5</v>
          </cell>
          <cell r="M26">
            <v>103.9179104477612</v>
          </cell>
          <cell r="N26">
            <v>1</v>
          </cell>
          <cell r="O26">
            <v>0.13632204940530648</v>
          </cell>
          <cell r="P26">
            <v>1</v>
          </cell>
          <cell r="Q26">
            <v>8.75</v>
          </cell>
          <cell r="R26">
            <v>1</v>
          </cell>
          <cell r="S26">
            <v>0.32736175663311984</v>
          </cell>
          <cell r="T26">
            <v>1.5</v>
          </cell>
          <cell r="U26">
            <v>0.30878316559926805</v>
          </cell>
          <cell r="V26">
            <v>2</v>
          </cell>
          <cell r="W26">
            <v>7.1349862258953164E-2</v>
          </cell>
          <cell r="X26">
            <v>0.5</v>
          </cell>
          <cell r="Y26">
            <v>11.5</v>
          </cell>
          <cell r="Z26" t="str">
            <v>ordinaria</v>
          </cell>
          <cell r="AA26">
            <v>0</v>
          </cell>
          <cell r="AB26">
            <v>19.17878128474468</v>
          </cell>
          <cell r="AC26">
            <v>1.5</v>
          </cell>
          <cell r="AD26">
            <v>0</v>
          </cell>
          <cell r="AE26">
            <v>2.25</v>
          </cell>
          <cell r="AF26">
            <v>3.75</v>
          </cell>
          <cell r="AG26">
            <v>15.25</v>
          </cell>
        </row>
        <row r="27">
          <cell r="B27" t="str">
            <v xml:space="preserve">Murchante </v>
          </cell>
          <cell r="C27">
            <v>4131</v>
          </cell>
          <cell r="D27">
            <v>0.75</v>
          </cell>
          <cell r="E27">
            <v>1.1007194244604317</v>
          </cell>
          <cell r="F27">
            <v>0</v>
          </cell>
          <cell r="G27">
            <v>308.28358208955223</v>
          </cell>
          <cell r="H27">
            <v>0.25</v>
          </cell>
          <cell r="I27">
            <v>0.17695473251028807</v>
          </cell>
          <cell r="J27">
            <v>0.75</v>
          </cell>
          <cell r="K27">
            <v>23.1</v>
          </cell>
          <cell r="L27">
            <v>1</v>
          </cell>
          <cell r="M27">
            <v>102.10371819960862</v>
          </cell>
          <cell r="N27">
            <v>1</v>
          </cell>
          <cell r="O27">
            <v>0.15855725006051805</v>
          </cell>
          <cell r="P27">
            <v>1.5</v>
          </cell>
          <cell r="Q27">
            <v>11.73</v>
          </cell>
          <cell r="R27">
            <v>1.75</v>
          </cell>
          <cell r="S27">
            <v>0.41355858145727431</v>
          </cell>
          <cell r="T27">
            <v>1</v>
          </cell>
          <cell r="U27">
            <v>0.40383684337932702</v>
          </cell>
          <cell r="V27">
            <v>1.5</v>
          </cell>
          <cell r="W27">
            <v>9.3185270546330731E-2</v>
          </cell>
          <cell r="X27">
            <v>0.5</v>
          </cell>
          <cell r="Y27">
            <v>10</v>
          </cell>
          <cell r="Z27" t="str">
            <v>ordinaria</v>
          </cell>
          <cell r="AA27">
            <v>0</v>
          </cell>
          <cell r="AB27">
            <v>11.58978711117846</v>
          </cell>
          <cell r="AC27">
            <v>1.25</v>
          </cell>
          <cell r="AD27">
            <v>5.9701492537313433E-3</v>
          </cell>
          <cell r="AE27">
            <v>2.25</v>
          </cell>
          <cell r="AF27">
            <v>3.5</v>
          </cell>
          <cell r="AG27">
            <v>13.5</v>
          </cell>
        </row>
        <row r="28">
          <cell r="B28" t="str">
            <v xml:space="preserve">Peralta/Azkoien </v>
          </cell>
          <cell r="C28">
            <v>5951</v>
          </cell>
          <cell r="D28">
            <v>0.25</v>
          </cell>
          <cell r="E28">
            <v>0.98104187273326737</v>
          </cell>
          <cell r="F28">
            <v>0.75</v>
          </cell>
          <cell r="G28">
            <v>67.319004524886878</v>
          </cell>
          <cell r="H28">
            <v>0.25</v>
          </cell>
          <cell r="I28">
            <v>0.16081330868761554</v>
          </cell>
          <cell r="J28">
            <v>0.75</v>
          </cell>
          <cell r="K28">
            <v>24</v>
          </cell>
          <cell r="L28">
            <v>1</v>
          </cell>
          <cell r="M28">
            <v>102.75979557069847</v>
          </cell>
          <cell r="N28">
            <v>1</v>
          </cell>
          <cell r="O28">
            <v>0.1883717022349185</v>
          </cell>
          <cell r="P28">
            <v>1.5</v>
          </cell>
          <cell r="Q28">
            <v>9.8000000000000007</v>
          </cell>
          <cell r="R28">
            <v>1</v>
          </cell>
          <cell r="S28">
            <v>0.41727383633002851</v>
          </cell>
          <cell r="T28">
            <v>1</v>
          </cell>
          <cell r="U28">
            <v>0.44055620904049742</v>
          </cell>
          <cell r="V28">
            <v>1.5</v>
          </cell>
          <cell r="W28">
            <v>7.424475166410649E-2</v>
          </cell>
          <cell r="X28">
            <v>0.5</v>
          </cell>
          <cell r="Y28">
            <v>9.5</v>
          </cell>
          <cell r="Z28" t="str">
            <v>ordinaria</v>
          </cell>
          <cell r="AA28">
            <v>0</v>
          </cell>
          <cell r="AB28">
            <v>35.664153583457605</v>
          </cell>
          <cell r="AC28">
            <v>1.5</v>
          </cell>
          <cell r="AD28">
            <v>0.20192307692307693</v>
          </cell>
          <cell r="AE28">
            <v>3.25</v>
          </cell>
          <cell r="AF28">
            <v>4.75</v>
          </cell>
          <cell r="AG28">
            <v>14.25</v>
          </cell>
        </row>
        <row r="29">
          <cell r="B29" t="str">
            <v xml:space="preserve">Ribaforada </v>
          </cell>
          <cell r="C29">
            <v>3738</v>
          </cell>
          <cell r="D29">
            <v>0.75</v>
          </cell>
          <cell r="E29">
            <v>1.033453137959635</v>
          </cell>
          <cell r="F29">
            <v>0</v>
          </cell>
          <cell r="G29">
            <v>128.89655172413794</v>
          </cell>
          <cell r="H29">
            <v>0.25</v>
          </cell>
          <cell r="I29">
            <v>0.15302300695559123</v>
          </cell>
          <cell r="J29">
            <v>0.75</v>
          </cell>
          <cell r="K29">
            <v>24.9</v>
          </cell>
          <cell r="L29">
            <v>1</v>
          </cell>
          <cell r="M29">
            <v>109.17739227756016</v>
          </cell>
          <cell r="N29">
            <v>1</v>
          </cell>
          <cell r="O29">
            <v>0.19636169074371321</v>
          </cell>
          <cell r="P29">
            <v>1.5</v>
          </cell>
          <cell r="Q29">
            <v>9.7200000000000006</v>
          </cell>
          <cell r="R29">
            <v>1</v>
          </cell>
          <cell r="S29">
            <v>0.41650080256821831</v>
          </cell>
          <cell r="T29">
            <v>1</v>
          </cell>
          <cell r="U29">
            <v>0.46013911182450506</v>
          </cell>
          <cell r="V29">
            <v>1.5</v>
          </cell>
          <cell r="W29">
            <v>0.18226041835576456</v>
          </cell>
          <cell r="X29">
            <v>1</v>
          </cell>
          <cell r="Y29">
            <v>9.75</v>
          </cell>
          <cell r="Z29" t="str">
            <v>ordinaria</v>
          </cell>
          <cell r="AA29">
            <v>0</v>
          </cell>
          <cell r="AB29">
            <v>16.043645744509973</v>
          </cell>
          <cell r="AC29">
            <v>1.5</v>
          </cell>
          <cell r="AD29">
            <v>1.3793103448275864E-2</v>
          </cell>
          <cell r="AE29">
            <v>2.25</v>
          </cell>
          <cell r="AF29">
            <v>3.75</v>
          </cell>
          <cell r="AG29">
            <v>13.5</v>
          </cell>
        </row>
        <row r="30">
          <cell r="B30" t="str">
            <v>San Adrián</v>
          </cell>
          <cell r="C30">
            <v>6344</v>
          </cell>
          <cell r="D30">
            <v>0.25</v>
          </cell>
          <cell r="E30">
            <v>1.008</v>
          </cell>
          <cell r="F30">
            <v>0</v>
          </cell>
          <cell r="G30">
            <v>301</v>
          </cell>
          <cell r="H30">
            <v>0.25</v>
          </cell>
          <cell r="I30">
            <v>0.15509999999999999</v>
          </cell>
          <cell r="J30">
            <v>0.75</v>
          </cell>
          <cell r="K30">
            <v>24.9</v>
          </cell>
          <cell r="L30">
            <v>1</v>
          </cell>
          <cell r="M30">
            <v>97.63</v>
          </cell>
          <cell r="N30">
            <v>0.75</v>
          </cell>
          <cell r="O30">
            <v>0.14499999999999999</v>
          </cell>
          <cell r="P30">
            <v>1</v>
          </cell>
          <cell r="Q30">
            <v>10.029999999999999</v>
          </cell>
          <cell r="R30">
            <v>1.75</v>
          </cell>
          <cell r="S30">
            <v>0.44550000000000001</v>
          </cell>
          <cell r="T30">
            <v>1</v>
          </cell>
          <cell r="U30">
            <v>0.44550000000000001</v>
          </cell>
          <cell r="V30">
            <v>1.5</v>
          </cell>
          <cell r="W30">
            <v>4.1399999999999999E-2</v>
          </cell>
          <cell r="X30">
            <v>0.5</v>
          </cell>
          <cell r="Y30">
            <v>8.75</v>
          </cell>
          <cell r="Z30" t="str">
            <v>ordinaria</v>
          </cell>
          <cell r="AA30">
            <v>0</v>
          </cell>
          <cell r="AB30">
            <v>46.6</v>
          </cell>
          <cell r="AC30">
            <v>1.5</v>
          </cell>
          <cell r="AD30">
            <v>0</v>
          </cell>
          <cell r="AE30">
            <v>2.75</v>
          </cell>
          <cell r="AF30">
            <v>4.25</v>
          </cell>
          <cell r="AG30">
            <v>13</v>
          </cell>
        </row>
        <row r="31">
          <cell r="B31" t="str">
            <v xml:space="preserve">Tudela </v>
          </cell>
          <cell r="C31">
            <v>37042</v>
          </cell>
          <cell r="D31">
            <v>0</v>
          </cell>
          <cell r="E31">
            <v>1.0503005557445844</v>
          </cell>
          <cell r="F31">
            <v>0</v>
          </cell>
          <cell r="G31">
            <v>171.72925359295317</v>
          </cell>
          <cell r="H31">
            <v>0.25</v>
          </cell>
          <cell r="I31">
            <v>0.15898169645267535</v>
          </cell>
          <cell r="J31">
            <v>0.75</v>
          </cell>
          <cell r="K31">
            <v>23.8</v>
          </cell>
          <cell r="L31">
            <v>1</v>
          </cell>
          <cell r="M31">
            <v>97.757727830868618</v>
          </cell>
          <cell r="N31">
            <v>0.75</v>
          </cell>
          <cell r="O31">
            <v>0.2164030019977323</v>
          </cell>
          <cell r="P31">
            <v>2</v>
          </cell>
          <cell r="Q31">
            <v>10.84</v>
          </cell>
          <cell r="R31">
            <v>1.75</v>
          </cell>
          <cell r="S31">
            <v>0.40462408077317641</v>
          </cell>
          <cell r="T31">
            <v>1</v>
          </cell>
          <cell r="U31">
            <v>0.38878165325846337</v>
          </cell>
          <cell r="V31">
            <v>1.75</v>
          </cell>
          <cell r="W31">
            <v>3.5322769514413141E-2</v>
          </cell>
          <cell r="X31">
            <v>0.5</v>
          </cell>
          <cell r="Y31">
            <v>9.75</v>
          </cell>
          <cell r="Z31" t="str">
            <v>ordinaria</v>
          </cell>
          <cell r="AA31">
            <v>0</v>
          </cell>
          <cell r="AB31">
            <v>0</v>
          </cell>
          <cell r="AC31">
            <v>1.25</v>
          </cell>
          <cell r="AD31">
            <v>0.19058878071395458</v>
          </cell>
          <cell r="AE31">
            <v>2.75</v>
          </cell>
          <cell r="AF31">
            <v>4</v>
          </cell>
          <cell r="AG31">
            <v>13.75</v>
          </cell>
        </row>
        <row r="32">
          <cell r="B32" t="str">
            <v xml:space="preserve">Tulebras </v>
          </cell>
          <cell r="C32">
            <v>132</v>
          </cell>
          <cell r="D32">
            <v>1.5</v>
          </cell>
          <cell r="E32">
            <v>1.064516129032258</v>
          </cell>
          <cell r="F32">
            <v>0</v>
          </cell>
          <cell r="G32">
            <v>34.736842105263158</v>
          </cell>
          <cell r="H32">
            <v>0.5</v>
          </cell>
          <cell r="I32">
            <v>9.8484848484848481E-2</v>
          </cell>
          <cell r="J32">
            <v>1</v>
          </cell>
          <cell r="K32">
            <v>36.4</v>
          </cell>
          <cell r="L32">
            <v>1.5</v>
          </cell>
          <cell r="M32">
            <v>78.378378378378372</v>
          </cell>
          <cell r="N32">
            <v>0.75</v>
          </cell>
          <cell r="O32">
            <v>0.25</v>
          </cell>
          <cell r="P32">
            <v>2</v>
          </cell>
          <cell r="Q32">
            <v>11.11</v>
          </cell>
          <cell r="R32">
            <v>1.75</v>
          </cell>
          <cell r="S32">
            <v>0.33770454545454542</v>
          </cell>
          <cell r="T32">
            <v>1.5</v>
          </cell>
          <cell r="U32">
            <v>0.28030303030303028</v>
          </cell>
          <cell r="V32">
            <v>2</v>
          </cell>
          <cell r="W32">
            <v>0.19121447028423774</v>
          </cell>
          <cell r="X32">
            <v>1</v>
          </cell>
          <cell r="Y32">
            <v>13.5</v>
          </cell>
          <cell r="Z32" t="str">
            <v>Con limitación</v>
          </cell>
          <cell r="AA32">
            <v>0.25</v>
          </cell>
          <cell r="AB32">
            <v>16.963759873546675</v>
          </cell>
          <cell r="AC32">
            <v>1.5</v>
          </cell>
          <cell r="AD32">
            <v>0</v>
          </cell>
          <cell r="AE32">
            <v>2.25</v>
          </cell>
          <cell r="AF32">
            <v>4</v>
          </cell>
          <cell r="AG32">
            <v>17.5</v>
          </cell>
        </row>
        <row r="33">
          <cell r="B33" t="str">
            <v xml:space="preserve">Valtierra </v>
          </cell>
          <cell r="C33">
            <v>2430</v>
          </cell>
          <cell r="D33">
            <v>1</v>
          </cell>
          <cell r="E33">
            <v>0.94847775175644033</v>
          </cell>
          <cell r="F33">
            <v>0.75</v>
          </cell>
          <cell r="G33">
            <v>48.697394789579157</v>
          </cell>
          <cell r="H33">
            <v>0.5</v>
          </cell>
          <cell r="I33">
            <v>0.14115226337448561</v>
          </cell>
          <cell r="J33">
            <v>1</v>
          </cell>
          <cell r="K33">
            <v>32</v>
          </cell>
          <cell r="L33">
            <v>1.5</v>
          </cell>
          <cell r="M33">
            <v>101.99501246882794</v>
          </cell>
          <cell r="N33">
            <v>1</v>
          </cell>
          <cell r="O33">
            <v>0.16502057613168725</v>
          </cell>
          <cell r="P33">
            <v>1.5</v>
          </cell>
          <cell r="Q33">
            <v>9.01</v>
          </cell>
          <cell r="R33">
            <v>1</v>
          </cell>
          <cell r="S33">
            <v>0.39997432098765429</v>
          </cell>
          <cell r="T33">
            <v>1.25</v>
          </cell>
          <cell r="U33">
            <v>0.46141975308641975</v>
          </cell>
          <cell r="V33">
            <v>1.5</v>
          </cell>
          <cell r="W33">
            <v>0.15531914893617021</v>
          </cell>
          <cell r="X33">
            <v>1</v>
          </cell>
          <cell r="Y33">
            <v>12</v>
          </cell>
          <cell r="Z33" t="str">
            <v>ordinaria</v>
          </cell>
          <cell r="AA33">
            <v>0</v>
          </cell>
          <cell r="AB33">
            <v>16.315833600111468</v>
          </cell>
          <cell r="AC33">
            <v>1.5</v>
          </cell>
          <cell r="AD33">
            <v>0.27515030060120244</v>
          </cell>
          <cell r="AE33">
            <v>3.25</v>
          </cell>
          <cell r="AF33">
            <v>4.75</v>
          </cell>
          <cell r="AG33">
            <v>16.75</v>
          </cell>
        </row>
        <row r="34">
          <cell r="B34" t="str">
            <v xml:space="preserve">Villafranca </v>
          </cell>
          <cell r="C34">
            <v>2883</v>
          </cell>
          <cell r="D34">
            <v>1</v>
          </cell>
          <cell r="E34">
            <v>0.96196196196196193</v>
          </cell>
          <cell r="F34">
            <v>0.75</v>
          </cell>
          <cell r="G34">
            <v>61.602564102564109</v>
          </cell>
          <cell r="H34">
            <v>0.25</v>
          </cell>
          <cell r="I34">
            <v>0.16614637530350329</v>
          </cell>
          <cell r="J34">
            <v>0.75</v>
          </cell>
          <cell r="K34">
            <v>25.6</v>
          </cell>
          <cell r="L34">
            <v>1.25</v>
          </cell>
          <cell r="M34">
            <v>102.17391304347827</v>
          </cell>
          <cell r="N34">
            <v>1</v>
          </cell>
          <cell r="O34">
            <v>0.25563648976760317</v>
          </cell>
          <cell r="P34">
            <v>2</v>
          </cell>
          <cell r="Q34">
            <v>10.050000000000001</v>
          </cell>
          <cell r="R34">
            <v>1.75</v>
          </cell>
          <cell r="S34">
            <v>0.40657648283038506</v>
          </cell>
          <cell r="T34">
            <v>1</v>
          </cell>
          <cell r="U34">
            <v>0.51829691293791191</v>
          </cell>
          <cell r="V34">
            <v>1.5</v>
          </cell>
          <cell r="W34">
            <v>0.14284711990458152</v>
          </cell>
          <cell r="X34">
            <v>1</v>
          </cell>
          <cell r="Y34">
            <v>12.25</v>
          </cell>
          <cell r="Z34" t="str">
            <v>ordinaria</v>
          </cell>
          <cell r="AA34">
            <v>0</v>
          </cell>
          <cell r="AB34">
            <v>26.441012261874555</v>
          </cell>
          <cell r="AC34">
            <v>1.5</v>
          </cell>
          <cell r="AD34">
            <v>6.623931623931624E-2</v>
          </cell>
          <cell r="AE34">
            <v>2.25</v>
          </cell>
          <cell r="AF34">
            <v>3.75</v>
          </cell>
          <cell r="AG34">
            <v>16</v>
          </cell>
        </row>
        <row r="35">
          <cell r="B35" t="str">
            <v>Media Ribera</v>
          </cell>
          <cell r="AF35"/>
          <cell r="AG35">
            <v>15.25</v>
          </cell>
        </row>
        <row r="41">
          <cell r="E41" t="str">
            <v>SI</v>
          </cell>
          <cell r="F41">
            <v>2</v>
          </cell>
        </row>
        <row r="42">
          <cell r="E42" t="str">
            <v>NO</v>
          </cell>
          <cell r="F42">
            <v>0</v>
          </cell>
        </row>
        <row r="43">
          <cell r="E43" t="str">
            <v>SI</v>
          </cell>
          <cell r="F43">
            <v>2</v>
          </cell>
        </row>
        <row r="44">
          <cell r="E44" t="str">
            <v>NO</v>
          </cell>
          <cell r="F44">
            <v>0</v>
          </cell>
        </row>
        <row r="45">
          <cell r="E45" t="str">
            <v>SI</v>
          </cell>
          <cell r="F45">
            <v>2</v>
          </cell>
        </row>
        <row r="46">
          <cell r="E46" t="str">
            <v>NO</v>
          </cell>
          <cell r="F46">
            <v>0</v>
          </cell>
        </row>
        <row r="47">
          <cell r="E47" t="str">
            <v>SI</v>
          </cell>
          <cell r="F47">
            <v>2</v>
          </cell>
        </row>
        <row r="48">
          <cell r="E48" t="str">
            <v>NO</v>
          </cell>
          <cell r="F48">
            <v>0</v>
          </cell>
        </row>
        <row r="49">
          <cell r="E49" t="str">
            <v>SI</v>
          </cell>
          <cell r="F49">
            <v>4</v>
          </cell>
        </row>
        <row r="50">
          <cell r="E50" t="str">
            <v>NO</v>
          </cell>
          <cell r="F50">
            <v>0</v>
          </cell>
        </row>
        <row r="51">
          <cell r="E51" t="str">
            <v>SI</v>
          </cell>
          <cell r="F51">
            <v>4</v>
          </cell>
        </row>
        <row r="52">
          <cell r="E52" t="str">
            <v>NO</v>
          </cell>
          <cell r="F52">
            <v>0</v>
          </cell>
        </row>
        <row r="53">
          <cell r="E53" t="str">
            <v>SI</v>
          </cell>
          <cell r="F53">
            <v>4</v>
          </cell>
        </row>
        <row r="54">
          <cell r="E54" t="str">
            <v>NO</v>
          </cell>
          <cell r="F54">
            <v>0</v>
          </cell>
        </row>
        <row r="55">
          <cell r="E55" t="str">
            <v>SI</v>
          </cell>
          <cell r="F55">
            <v>4</v>
          </cell>
        </row>
        <row r="56">
          <cell r="E56" t="str">
            <v>NO</v>
          </cell>
          <cell r="F56">
            <v>0</v>
          </cell>
        </row>
        <row r="57">
          <cell r="E57" t="str">
            <v>Beneficiario de 3 o más proyectos</v>
          </cell>
          <cell r="F57">
            <v>0</v>
          </cell>
        </row>
        <row r="58">
          <cell r="E58" t="str">
            <v>Beneficiario de 2 proyectos</v>
          </cell>
          <cell r="F58">
            <v>1</v>
          </cell>
        </row>
        <row r="59">
          <cell r="E59" t="str">
            <v>Beneficiario de 1 proyecto</v>
          </cell>
          <cell r="F59">
            <v>2</v>
          </cell>
        </row>
        <row r="60">
          <cell r="E60" t="str">
            <v>No ha sido beneficiario anteriormente</v>
          </cell>
          <cell r="F60">
            <v>3</v>
          </cell>
        </row>
        <row r="66">
          <cell r="E66" t="str">
            <v>SI</v>
          </cell>
          <cell r="F66">
            <v>3</v>
          </cell>
        </row>
        <row r="67">
          <cell r="E67" t="str">
            <v>NO</v>
          </cell>
          <cell r="F67">
            <v>0</v>
          </cell>
        </row>
        <row r="68">
          <cell r="E68" t="str">
            <v>SI</v>
          </cell>
          <cell r="F68">
            <v>4</v>
          </cell>
        </row>
        <row r="69">
          <cell r="E69" t="str">
            <v>NO</v>
          </cell>
          <cell r="F69">
            <v>0</v>
          </cell>
        </row>
        <row r="70">
          <cell r="E70" t="str">
            <v>SI</v>
          </cell>
          <cell r="F70">
            <v>1</v>
          </cell>
        </row>
        <row r="71">
          <cell r="E71" t="str">
            <v>NO</v>
          </cell>
          <cell r="F71">
            <v>0</v>
          </cell>
        </row>
        <row r="72">
          <cell r="E72" t="str">
            <v>SI</v>
          </cell>
          <cell r="F72">
            <v>2</v>
          </cell>
        </row>
        <row r="73">
          <cell r="E73" t="str">
            <v>NO</v>
          </cell>
          <cell r="F73">
            <v>0</v>
          </cell>
        </row>
        <row r="74">
          <cell r="E74" t="str">
            <v>SI</v>
          </cell>
          <cell r="F74">
            <v>2</v>
          </cell>
        </row>
        <row r="75">
          <cell r="E75" t="str">
            <v>NO</v>
          </cell>
          <cell r="F75">
            <v>0</v>
          </cell>
        </row>
        <row r="76">
          <cell r="E76" t="str">
            <v>SI</v>
          </cell>
          <cell r="F76">
            <v>1</v>
          </cell>
        </row>
        <row r="77">
          <cell r="E77" t="str">
            <v>NO</v>
          </cell>
          <cell r="F77">
            <v>0</v>
          </cell>
        </row>
        <row r="78">
          <cell r="E78" t="str">
            <v>SI</v>
          </cell>
          <cell r="F78">
            <v>2</v>
          </cell>
        </row>
        <row r="79">
          <cell r="E79" t="str">
            <v>NO</v>
          </cell>
          <cell r="F79">
            <v>0</v>
          </cell>
        </row>
        <row r="80">
          <cell r="E80" t="str">
            <v>SI</v>
          </cell>
          <cell r="F80">
            <v>3</v>
          </cell>
        </row>
        <row r="81">
          <cell r="E81" t="str">
            <v>NO</v>
          </cell>
          <cell r="F81">
            <v>0</v>
          </cell>
        </row>
        <row r="82">
          <cell r="E82" t="str">
            <v>No colaboración</v>
          </cell>
          <cell r="F82">
            <v>0</v>
          </cell>
        </row>
        <row r="83">
          <cell r="E83" t="str">
            <v>Público-Público</v>
          </cell>
          <cell r="F83">
            <v>1</v>
          </cell>
        </row>
        <row r="84">
          <cell r="E84" t="str">
            <v>Privado-Privado</v>
          </cell>
          <cell r="F84">
            <v>1</v>
          </cell>
        </row>
        <row r="85">
          <cell r="E85" t="str">
            <v>Público-Privada</v>
          </cell>
          <cell r="F85">
            <v>3</v>
          </cell>
        </row>
        <row r="86">
          <cell r="E86" t="str">
            <v>0 participantes</v>
          </cell>
          <cell r="F86">
            <v>0</v>
          </cell>
        </row>
        <row r="87">
          <cell r="E87" t="str">
            <v>2 participantes</v>
          </cell>
          <cell r="F87">
            <v>1</v>
          </cell>
        </row>
        <row r="88">
          <cell r="E88" t="str">
            <v>3 o más participantes</v>
          </cell>
          <cell r="F88">
            <v>2</v>
          </cell>
        </row>
        <row r="98">
          <cell r="E98" t="str">
            <v>SI</v>
          </cell>
          <cell r="F98">
            <v>1</v>
          </cell>
        </row>
        <row r="99">
          <cell r="E99" t="str">
            <v>NO</v>
          </cell>
          <cell r="F99">
            <v>0</v>
          </cell>
        </row>
        <row r="100">
          <cell r="E100" t="str">
            <v>SI</v>
          </cell>
          <cell r="F100">
            <v>5</v>
          </cell>
        </row>
        <row r="101">
          <cell r="E101" t="str">
            <v>NO</v>
          </cell>
          <cell r="F101">
            <v>0</v>
          </cell>
        </row>
        <row r="102">
          <cell r="E102" t="str">
            <v>SI</v>
          </cell>
          <cell r="F102">
            <v>5</v>
          </cell>
        </row>
        <row r="103">
          <cell r="E103" t="str">
            <v>NO</v>
          </cell>
          <cell r="F103">
            <v>0</v>
          </cell>
        </row>
        <row r="106">
          <cell r="E106" t="str">
            <v>SI</v>
          </cell>
          <cell r="F106">
            <v>2</v>
          </cell>
        </row>
        <row r="107">
          <cell r="E107" t="str">
            <v>NO</v>
          </cell>
          <cell r="F107">
            <v>0</v>
          </cell>
        </row>
        <row r="108">
          <cell r="E108" t="str">
            <v>SI</v>
          </cell>
          <cell r="F108">
            <v>2</v>
          </cell>
        </row>
        <row r="109">
          <cell r="E109" t="str">
            <v>NO</v>
          </cell>
          <cell r="F109">
            <v>0</v>
          </cell>
        </row>
        <row r="110">
          <cell r="E110" t="str">
            <v>SI</v>
          </cell>
          <cell r="F110">
            <v>1</v>
          </cell>
        </row>
        <row r="111">
          <cell r="E111" t="str">
            <v>NO</v>
          </cell>
          <cell r="F111">
            <v>0</v>
          </cell>
        </row>
        <row r="112">
          <cell r="E112" t="str">
            <v>SI</v>
          </cell>
          <cell r="F112">
            <v>1</v>
          </cell>
        </row>
        <row r="113">
          <cell r="E113" t="str">
            <v>NO</v>
          </cell>
          <cell r="F113">
            <v>0</v>
          </cell>
        </row>
        <row r="114">
          <cell r="E114" t="str">
            <v>SI</v>
          </cell>
          <cell r="F114">
            <v>2</v>
          </cell>
        </row>
        <row r="115">
          <cell r="E115" t="str">
            <v>NO</v>
          </cell>
          <cell r="F115">
            <v>0</v>
          </cell>
        </row>
        <row r="116">
          <cell r="E116" t="str">
            <v>SI</v>
          </cell>
          <cell r="F116">
            <v>3</v>
          </cell>
        </row>
        <row r="117">
          <cell r="E117" t="str">
            <v>NO</v>
          </cell>
          <cell r="F117">
            <v>0</v>
          </cell>
        </row>
        <row r="118">
          <cell r="E118" t="str">
            <v>SI</v>
          </cell>
          <cell r="F118">
            <v>3</v>
          </cell>
        </row>
        <row r="119">
          <cell r="E119" t="str">
            <v>NO</v>
          </cell>
          <cell r="F119">
            <v>0</v>
          </cell>
        </row>
        <row r="120">
          <cell r="E120" t="str">
            <v>SI</v>
          </cell>
          <cell r="F120">
            <v>3</v>
          </cell>
        </row>
        <row r="121">
          <cell r="E121" t="str">
            <v>NO</v>
          </cell>
          <cell r="F121">
            <v>0</v>
          </cell>
        </row>
        <row r="122">
          <cell r="E122" t="str">
            <v>SI</v>
          </cell>
          <cell r="F122">
            <v>3</v>
          </cell>
        </row>
        <row r="123">
          <cell r="E123" t="str">
            <v>NO</v>
          </cell>
          <cell r="F123">
            <v>0</v>
          </cell>
        </row>
        <row r="124">
          <cell r="E124" t="str">
            <v>SI</v>
          </cell>
          <cell r="F124">
            <v>1</v>
          </cell>
        </row>
        <row r="125">
          <cell r="E125" t="str">
            <v>NO</v>
          </cell>
          <cell r="F125">
            <v>0</v>
          </cell>
        </row>
        <row r="126">
          <cell r="E126" t="str">
            <v>SI</v>
          </cell>
          <cell r="F126">
            <v>3</v>
          </cell>
        </row>
        <row r="127">
          <cell r="E127" t="str">
            <v>NO</v>
          </cell>
          <cell r="F127">
            <v>0</v>
          </cell>
        </row>
        <row r="128">
          <cell r="E128" t="str">
            <v>SI</v>
          </cell>
          <cell r="F128">
            <v>3</v>
          </cell>
        </row>
        <row r="129">
          <cell r="E129" t="str">
            <v>NO</v>
          </cell>
          <cell r="F129">
            <v>0</v>
          </cell>
        </row>
        <row r="130">
          <cell r="E130" t="str">
            <v>SI</v>
          </cell>
          <cell r="F130">
            <v>3</v>
          </cell>
        </row>
        <row r="131">
          <cell r="E131" t="str">
            <v>NO</v>
          </cell>
          <cell r="F131">
            <v>0</v>
          </cell>
        </row>
        <row r="132">
          <cell r="E132" t="str">
            <v>SI</v>
          </cell>
          <cell r="F132">
            <v>3</v>
          </cell>
        </row>
        <row r="133">
          <cell r="E133" t="str">
            <v>NO</v>
          </cell>
          <cell r="F133">
            <v>0</v>
          </cell>
        </row>
        <row r="134">
          <cell r="E134" t="str">
            <v>SI</v>
          </cell>
          <cell r="F134">
            <v>3</v>
          </cell>
        </row>
        <row r="135">
          <cell r="E135" t="str">
            <v>NO</v>
          </cell>
          <cell r="F135">
            <v>0</v>
          </cell>
        </row>
        <row r="136">
          <cell r="E136" t="str">
            <v>SI</v>
          </cell>
          <cell r="F136">
            <v>3</v>
          </cell>
        </row>
        <row r="137">
          <cell r="E137" t="str">
            <v>NO</v>
          </cell>
          <cell r="F137">
            <v>0</v>
          </cell>
        </row>
        <row r="138">
          <cell r="E138" t="str">
            <v>SI</v>
          </cell>
          <cell r="F138">
            <v>3</v>
          </cell>
        </row>
        <row r="139">
          <cell r="E139" t="str">
            <v>NO</v>
          </cell>
          <cell r="F139">
            <v>0</v>
          </cell>
        </row>
        <row r="140">
          <cell r="E140" t="str">
            <v>SI</v>
          </cell>
          <cell r="F140">
            <v>3</v>
          </cell>
        </row>
        <row r="141">
          <cell r="E141" t="str">
            <v>NO</v>
          </cell>
          <cell r="F141">
            <v>0</v>
          </cell>
        </row>
        <row r="142">
          <cell r="E142" t="str">
            <v>SI</v>
          </cell>
          <cell r="F142">
            <v>1</v>
          </cell>
        </row>
        <row r="143">
          <cell r="E143" t="str">
            <v>NO</v>
          </cell>
          <cell r="F143">
            <v>0</v>
          </cell>
        </row>
        <row r="144">
          <cell r="E144" t="str">
            <v>SI</v>
          </cell>
          <cell r="F144">
            <v>2</v>
          </cell>
        </row>
        <row r="145">
          <cell r="E145" t="str">
            <v>NO</v>
          </cell>
          <cell r="F145">
            <v>0</v>
          </cell>
        </row>
        <row r="146">
          <cell r="E146" t="str">
            <v>SI</v>
          </cell>
          <cell r="F146">
            <v>2</v>
          </cell>
        </row>
        <row r="147">
          <cell r="E147" t="str">
            <v>NO</v>
          </cell>
          <cell r="F147">
            <v>0</v>
          </cell>
        </row>
        <row r="148">
          <cell r="E148" t="str">
            <v>SI</v>
          </cell>
          <cell r="F148">
            <v>2</v>
          </cell>
        </row>
        <row r="149">
          <cell r="E149" t="str">
            <v>NO</v>
          </cell>
          <cell r="F149">
            <v>0</v>
          </cell>
        </row>
        <row r="150">
          <cell r="E150" t="str">
            <v>SI</v>
          </cell>
          <cell r="F150">
            <v>6</v>
          </cell>
        </row>
        <row r="151">
          <cell r="E151" t="str">
            <v>NO</v>
          </cell>
          <cell r="F151">
            <v>0</v>
          </cell>
        </row>
        <row r="152">
          <cell r="E152" t="str">
            <v>SI</v>
          </cell>
          <cell r="F152">
            <v>2</v>
          </cell>
        </row>
        <row r="153">
          <cell r="E153" t="str">
            <v>NO</v>
          </cell>
          <cell r="F153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26"/>
  <sheetViews>
    <sheetView tabSelected="1" zoomScale="50" zoomScaleNormal="50" zoomScalePageLayoutView="55" workbookViewId="0">
      <pane ySplit="10" topLeftCell="A113" activePane="bottomLeft" state="frozen"/>
      <selection pane="bottomLeft" activeCell="U126" sqref="U126"/>
    </sheetView>
  </sheetViews>
  <sheetFormatPr baseColWidth="10" defaultColWidth="11.42578125" defaultRowHeight="23.25" x14ac:dyDescent="0.25"/>
  <cols>
    <col min="1" max="1" width="6" style="1" customWidth="1"/>
    <col min="2" max="2" width="5" style="2" customWidth="1"/>
    <col min="3" max="3" width="31.28515625" style="1" customWidth="1"/>
    <col min="4" max="4" width="67.5703125" style="1" customWidth="1"/>
    <col min="5" max="5" width="101.85546875" style="1" customWidth="1"/>
    <col min="6" max="6" width="58.42578125" style="1" customWidth="1"/>
    <col min="7" max="7" width="18.85546875" style="2" customWidth="1"/>
    <col min="8" max="8" width="17.42578125" style="2" customWidth="1"/>
    <col min="9" max="9" width="16" style="2" customWidth="1"/>
    <col min="10" max="10" width="3.85546875" style="1" customWidth="1"/>
    <col min="11" max="11" width="16" style="3" hidden="1" customWidth="1"/>
    <col min="12" max="12" width="86.7109375" style="3" hidden="1" customWidth="1"/>
    <col min="13" max="13" width="5.28515625" style="1" hidden="1" customWidth="1"/>
    <col min="14" max="14" width="16.42578125" style="3" hidden="1" customWidth="1"/>
    <col min="15" max="15" width="64.85546875" style="3" hidden="1" customWidth="1"/>
    <col min="16" max="16" width="0" style="1" hidden="1" customWidth="1"/>
    <col min="17" max="17" width="11.42578125" style="1"/>
    <col min="18" max="18" width="13.42578125" style="1" bestFit="1" customWidth="1"/>
    <col min="19" max="16384" width="11.42578125" style="1"/>
  </cols>
  <sheetData>
    <row r="1" spans="1:15" ht="36.75" customHeight="1" x14ac:dyDescent="0.4">
      <c r="C1" s="5" t="s">
        <v>13</v>
      </c>
      <c r="F1" s="6" t="s">
        <v>14</v>
      </c>
      <c r="H1" s="322" t="s">
        <v>15</v>
      </c>
      <c r="I1" s="322"/>
    </row>
    <row r="2" spans="1:15" ht="28.5" customHeight="1" x14ac:dyDescent="0.4">
      <c r="B2" s="4"/>
      <c r="D2" s="5"/>
      <c r="E2" s="5"/>
      <c r="G2" s="7"/>
    </row>
    <row r="3" spans="1:15" ht="33.75" customHeight="1" x14ac:dyDescent="0.35">
      <c r="B3" s="4"/>
      <c r="C3" s="269" t="s">
        <v>354</v>
      </c>
      <c r="D3" s="323" t="s">
        <v>355</v>
      </c>
      <c r="E3" s="323"/>
      <c r="F3" s="323"/>
      <c r="G3" s="7"/>
      <c r="H3" s="8"/>
      <c r="I3" s="8"/>
    </row>
    <row r="4" spans="1:15" ht="37.5" customHeight="1" x14ac:dyDescent="0.35">
      <c r="F4" s="270" t="s">
        <v>16</v>
      </c>
      <c r="G4" s="9"/>
      <c r="H4" s="8"/>
      <c r="I4" s="8"/>
    </row>
    <row r="5" spans="1:15" ht="31.5" customHeight="1" thickBot="1" x14ac:dyDescent="0.2">
      <c r="B5" s="271" t="s">
        <v>17</v>
      </c>
      <c r="C5" s="250"/>
      <c r="D5" s="250"/>
      <c r="F5" s="10"/>
    </row>
    <row r="6" spans="1:15" ht="25.5" customHeight="1" x14ac:dyDescent="0.25">
      <c r="A6" s="11"/>
      <c r="B6" s="324" t="s">
        <v>356</v>
      </c>
      <c r="C6" s="325"/>
      <c r="D6" s="326"/>
      <c r="E6" s="326"/>
      <c r="F6" s="326"/>
      <c r="G6" s="326"/>
      <c r="H6" s="326"/>
      <c r="I6" s="327"/>
      <c r="J6" s="3"/>
      <c r="K6" s="251" t="s">
        <v>18</v>
      </c>
      <c r="L6" s="252"/>
      <c r="N6" s="251" t="s">
        <v>19</v>
      </c>
      <c r="O6" s="252"/>
    </row>
    <row r="7" spans="1:15" ht="25.5" customHeight="1" x14ac:dyDescent="0.25">
      <c r="A7" s="11"/>
      <c r="B7" s="328" t="s">
        <v>357</v>
      </c>
      <c r="C7" s="329"/>
      <c r="D7" s="330"/>
      <c r="E7" s="330"/>
      <c r="F7" s="331"/>
      <c r="G7" s="213" t="s">
        <v>20</v>
      </c>
      <c r="H7" s="262"/>
      <c r="I7" s="263"/>
      <c r="J7" s="3"/>
      <c r="K7" s="248"/>
      <c r="L7" s="253"/>
      <c r="N7" s="248"/>
      <c r="O7" s="253"/>
    </row>
    <row r="8" spans="1:15" ht="25.5" customHeight="1" thickBot="1" x14ac:dyDescent="0.3">
      <c r="A8" s="11"/>
      <c r="B8" s="332" t="s">
        <v>21</v>
      </c>
      <c r="C8" s="333"/>
      <c r="D8" s="334"/>
      <c r="E8" s="335"/>
      <c r="F8" s="12" t="s">
        <v>22</v>
      </c>
      <c r="G8" s="272"/>
      <c r="H8" s="273"/>
      <c r="I8" s="274"/>
      <c r="J8" s="3"/>
      <c r="K8" s="254"/>
      <c r="L8" s="255"/>
      <c r="N8" s="254"/>
      <c r="O8" s="255"/>
    </row>
    <row r="9" spans="1:15" ht="24" customHeight="1" thickBot="1" x14ac:dyDescent="0.3"/>
    <row r="10" spans="1:15" ht="65.45" customHeight="1" thickBot="1" x14ac:dyDescent="0.3">
      <c r="B10" s="13" t="s">
        <v>23</v>
      </c>
      <c r="C10" s="14" t="s">
        <v>24</v>
      </c>
      <c r="D10" s="14" t="s">
        <v>25</v>
      </c>
      <c r="E10" s="14" t="s">
        <v>26</v>
      </c>
      <c r="F10" s="14" t="s">
        <v>27</v>
      </c>
      <c r="G10" s="15" t="s">
        <v>28</v>
      </c>
      <c r="H10" s="16" t="s">
        <v>29</v>
      </c>
      <c r="I10" s="15" t="s">
        <v>30</v>
      </c>
      <c r="K10" s="17" t="s">
        <v>31</v>
      </c>
      <c r="L10" s="17" t="s">
        <v>32</v>
      </c>
      <c r="N10" s="17" t="s">
        <v>33</v>
      </c>
      <c r="O10" s="17" t="s">
        <v>32</v>
      </c>
    </row>
    <row r="11" spans="1:15" ht="24" customHeight="1" thickBot="1" x14ac:dyDescent="0.3">
      <c r="B11" s="29"/>
      <c r="C11" s="29"/>
      <c r="D11" s="29"/>
      <c r="E11" s="29"/>
      <c r="F11" s="29"/>
      <c r="G11" s="29"/>
      <c r="H11" s="29"/>
      <c r="I11" s="29"/>
    </row>
    <row r="12" spans="1:15" s="18" customFormat="1" ht="34.5" customHeight="1" thickBot="1" x14ac:dyDescent="0.3">
      <c r="B12" s="275" t="s">
        <v>34</v>
      </c>
      <c r="C12" s="256"/>
      <c r="D12" s="256"/>
      <c r="E12" s="256"/>
      <c r="F12" s="256"/>
      <c r="G12" s="256"/>
      <c r="H12" s="256"/>
      <c r="I12" s="257"/>
    </row>
    <row r="13" spans="1:15" ht="5.25" customHeight="1" x14ac:dyDescent="0.25">
      <c r="B13" s="258"/>
      <c r="C13" s="259"/>
      <c r="D13" s="259"/>
      <c r="E13" s="259"/>
      <c r="F13" s="259"/>
      <c r="G13" s="259"/>
      <c r="H13" s="259"/>
      <c r="I13" s="260"/>
      <c r="L13" s="9"/>
      <c r="O13" s="9"/>
    </row>
    <row r="14" spans="1:15" ht="23.25" customHeight="1" x14ac:dyDescent="0.25">
      <c r="B14" s="336">
        <v>1</v>
      </c>
      <c r="C14" s="339" t="s">
        <v>0</v>
      </c>
      <c r="D14" s="339" t="s">
        <v>35</v>
      </c>
      <c r="E14" s="19" t="s">
        <v>36</v>
      </c>
      <c r="F14" s="276" t="s">
        <v>132</v>
      </c>
      <c r="G14" s="213" t="s">
        <v>1</v>
      </c>
      <c r="H14" s="20">
        <f>IF(F14="","",VLOOKUP(F14,'[2]Referencias Productivos'!E41:F42,2,FALSE))</f>
        <v>0</v>
      </c>
      <c r="I14" s="230"/>
      <c r="K14" s="19"/>
      <c r="L14" s="277"/>
      <c r="N14" s="19"/>
      <c r="O14" s="277"/>
    </row>
    <row r="15" spans="1:15" ht="5.25" customHeight="1" x14ac:dyDescent="0.25">
      <c r="B15" s="337"/>
      <c r="C15" s="340"/>
      <c r="D15" s="340"/>
      <c r="E15" s="21"/>
      <c r="F15" s="57"/>
      <c r="G15" s="213"/>
      <c r="H15" s="3"/>
      <c r="I15" s="22"/>
      <c r="L15" s="9"/>
      <c r="O15" s="9"/>
    </row>
    <row r="16" spans="1:15" ht="46.5" x14ac:dyDescent="0.25">
      <c r="B16" s="337"/>
      <c r="C16" s="340"/>
      <c r="D16" s="341"/>
      <c r="E16" s="19" t="s">
        <v>38</v>
      </c>
      <c r="F16" s="276" t="s">
        <v>132</v>
      </c>
      <c r="G16" s="213"/>
      <c r="H16" s="20">
        <f>IF(F16="","",VLOOKUP(F16,'[2]Referencias Productivos'!E43:F44,2,FALSE))</f>
        <v>0</v>
      </c>
      <c r="I16" s="230"/>
      <c r="K16" s="19"/>
      <c r="L16" s="277"/>
      <c r="N16" s="19"/>
      <c r="O16" s="277"/>
    </row>
    <row r="17" spans="2:15" ht="5.25" customHeight="1" x14ac:dyDescent="0.25">
      <c r="B17" s="337"/>
      <c r="C17" s="340"/>
      <c r="D17" s="249"/>
      <c r="E17" s="3"/>
      <c r="F17" s="3"/>
      <c r="G17" s="249"/>
      <c r="H17" s="249"/>
      <c r="I17" s="230"/>
      <c r="L17" s="9"/>
      <c r="O17" s="9"/>
    </row>
    <row r="18" spans="2:15" s="27" customFormat="1" ht="25.5" customHeight="1" x14ac:dyDescent="0.25">
      <c r="B18" s="337"/>
      <c r="C18" s="340"/>
      <c r="D18" s="278" t="s">
        <v>39</v>
      </c>
      <c r="E18" s="279"/>
      <c r="F18" s="23" t="s">
        <v>40</v>
      </c>
      <c r="G18" s="24">
        <f>IF(SUM(H14+H16)&lt;=2,SUM(H14+H16),2)</f>
        <v>0</v>
      </c>
      <c r="H18" s="25"/>
      <c r="I18" s="26"/>
      <c r="K18" s="29"/>
      <c r="L18" s="280"/>
      <c r="N18" s="29"/>
      <c r="O18" s="280"/>
    </row>
    <row r="19" spans="2:15" ht="5.25" customHeight="1" x14ac:dyDescent="0.25">
      <c r="B19" s="337"/>
      <c r="C19" s="340"/>
      <c r="D19" s="249"/>
      <c r="E19" s="249"/>
      <c r="F19" s="249"/>
      <c r="G19" s="249"/>
      <c r="H19" s="249"/>
      <c r="I19" s="230"/>
      <c r="L19" s="9"/>
      <c r="O19" s="9"/>
    </row>
    <row r="20" spans="2:15" ht="25.5" customHeight="1" x14ac:dyDescent="0.25">
      <c r="B20" s="337"/>
      <c r="C20" s="340"/>
      <c r="D20" s="339" t="s">
        <v>41</v>
      </c>
      <c r="E20" s="19" t="s">
        <v>42</v>
      </c>
      <c r="F20" s="276" t="s">
        <v>132</v>
      </c>
      <c r="G20" s="213" t="s">
        <v>1</v>
      </c>
      <c r="H20" s="20">
        <f>IF(F20="","",VLOOKUP(F20,'[2]Referencias Productivos'!E45:F46,2,FALSE))</f>
        <v>0</v>
      </c>
      <c r="I20" s="230"/>
      <c r="K20" s="19"/>
      <c r="L20" s="277"/>
      <c r="N20" s="19"/>
      <c r="O20" s="277"/>
    </row>
    <row r="21" spans="2:15" ht="5.25" customHeight="1" x14ac:dyDescent="0.25">
      <c r="B21" s="337"/>
      <c r="C21" s="340"/>
      <c r="D21" s="340"/>
      <c r="E21" s="21"/>
      <c r="F21" s="57"/>
      <c r="G21" s="213"/>
      <c r="H21" s="3"/>
      <c r="I21" s="22"/>
      <c r="L21" s="9"/>
      <c r="O21" s="9"/>
    </row>
    <row r="22" spans="2:15" ht="46.5" customHeight="1" x14ac:dyDescent="0.25">
      <c r="B22" s="337"/>
      <c r="C22" s="340"/>
      <c r="D22" s="341"/>
      <c r="E22" s="19" t="s">
        <v>43</v>
      </c>
      <c r="F22" s="276" t="s">
        <v>132</v>
      </c>
      <c r="G22" s="213"/>
      <c r="H22" s="20">
        <f>IF(F22="","",VLOOKUP(F22,'[2]Referencias Productivos'!E47:F48,2,FALSE))</f>
        <v>0</v>
      </c>
      <c r="I22" s="230"/>
      <c r="K22" s="19"/>
      <c r="L22" s="277"/>
      <c r="N22" s="19"/>
      <c r="O22" s="277"/>
    </row>
    <row r="23" spans="2:15" ht="5.25" customHeight="1" x14ac:dyDescent="0.25">
      <c r="B23" s="337"/>
      <c r="C23" s="340"/>
      <c r="D23" s="3"/>
      <c r="E23" s="3"/>
      <c r="F23" s="3"/>
      <c r="G23" s="3"/>
      <c r="H23" s="3"/>
      <c r="I23" s="22"/>
      <c r="L23" s="9"/>
      <c r="O23" s="9"/>
    </row>
    <row r="24" spans="2:15" s="27" customFormat="1" ht="25.5" customHeight="1" x14ac:dyDescent="0.25">
      <c r="B24" s="338"/>
      <c r="C24" s="341"/>
      <c r="D24" s="278" t="s">
        <v>44</v>
      </c>
      <c r="E24" s="261"/>
      <c r="F24" s="23" t="s">
        <v>40</v>
      </c>
      <c r="G24" s="24">
        <f>IF(SUM(H20+H22)&lt;=2,SUM(H20+H22),2)</f>
        <v>0</v>
      </c>
      <c r="H24" s="25"/>
      <c r="I24" s="26"/>
      <c r="J24" s="25"/>
      <c r="K24" s="28"/>
      <c r="L24" s="280"/>
      <c r="M24" s="29"/>
      <c r="N24" s="30">
        <f>N14+N16</f>
        <v>0</v>
      </c>
      <c r="O24" s="280"/>
    </row>
    <row r="25" spans="2:15" ht="5.25" customHeight="1" x14ac:dyDescent="0.25">
      <c r="B25" s="220"/>
      <c r="C25" s="31"/>
      <c r="D25" s="32"/>
      <c r="E25" s="32"/>
      <c r="F25" s="3"/>
      <c r="G25" s="3"/>
      <c r="H25" s="249"/>
      <c r="I25" s="230"/>
      <c r="J25" s="249"/>
      <c r="K25" s="33"/>
      <c r="L25" s="9"/>
      <c r="M25" s="3"/>
      <c r="O25" s="9"/>
    </row>
    <row r="26" spans="2:15" s="27" customFormat="1" ht="25.5" customHeight="1" x14ac:dyDescent="0.25">
      <c r="B26" s="211"/>
      <c r="C26" s="281" t="s">
        <v>45</v>
      </c>
      <c r="D26" s="236"/>
      <c r="E26" s="237"/>
      <c r="F26" s="34" t="s">
        <v>46</v>
      </c>
      <c r="G26" s="35">
        <f>IF(SUM(G18+G24)&lt;=4,SUM(G18+G24),4)</f>
        <v>0</v>
      </c>
      <c r="H26" s="25"/>
      <c r="I26" s="36">
        <f>IF(SUM(G18+G24)&lt;=4, SUM(G18+G24),4)</f>
        <v>0</v>
      </c>
      <c r="J26" s="25"/>
      <c r="K26" s="37"/>
      <c r="L26" s="280"/>
      <c r="M26" s="29"/>
      <c r="N26" s="29"/>
      <c r="O26" s="280"/>
    </row>
    <row r="27" spans="2:15" ht="5.25" customHeight="1" x14ac:dyDescent="0.25">
      <c r="B27" s="245"/>
      <c r="C27" s="282"/>
      <c r="D27" s="246"/>
      <c r="E27" s="246"/>
      <c r="F27" s="246"/>
      <c r="G27" s="246"/>
      <c r="H27" s="246"/>
      <c r="I27" s="247"/>
      <c r="L27" s="9"/>
      <c r="O27" s="9"/>
    </row>
    <row r="28" spans="2:15" ht="92.25" customHeight="1" x14ac:dyDescent="0.35">
      <c r="B28" s="283">
        <v>2</v>
      </c>
      <c r="C28" s="339" t="s">
        <v>2</v>
      </c>
      <c r="D28" s="342" t="s">
        <v>358</v>
      </c>
      <c r="E28" s="38" t="s">
        <v>47</v>
      </c>
      <c r="F28" s="284" t="s">
        <v>132</v>
      </c>
      <c r="G28" s="216" t="s">
        <v>3</v>
      </c>
      <c r="H28" s="39">
        <f>IF(F28="","",VLOOKUP(F28,'[2]Referencias Productivos'!E49:F50,2,FALSE))</f>
        <v>0</v>
      </c>
      <c r="I28" s="230"/>
      <c r="K28" s="19"/>
      <c r="L28" s="277"/>
      <c r="N28" s="19"/>
      <c r="O28" s="277"/>
    </row>
    <row r="29" spans="2:15" ht="5.25" customHeight="1" x14ac:dyDescent="0.25">
      <c r="B29" s="220"/>
      <c r="C29" s="340"/>
      <c r="D29" s="343"/>
      <c r="E29" s="248"/>
      <c r="F29" s="249"/>
      <c r="G29" s="249"/>
      <c r="H29" s="249"/>
      <c r="I29" s="230"/>
      <c r="L29" s="9"/>
      <c r="O29" s="9"/>
    </row>
    <row r="30" spans="2:15" ht="88.5" customHeight="1" x14ac:dyDescent="0.25">
      <c r="B30" s="221"/>
      <c r="C30" s="341"/>
      <c r="D30" s="344"/>
      <c r="E30" s="19" t="s">
        <v>48</v>
      </c>
      <c r="F30" s="43" t="s">
        <v>132</v>
      </c>
      <c r="G30" s="213" t="s">
        <v>3</v>
      </c>
      <c r="H30" s="41">
        <f>IF(F30="","",VLOOKUP(F30,'[2]Referencias Productivos'!E51:F52,2,FALSE))</f>
        <v>0</v>
      </c>
      <c r="I30" s="230"/>
      <c r="K30" s="19"/>
      <c r="L30" s="277"/>
      <c r="N30" s="19"/>
      <c r="O30" s="277"/>
    </row>
    <row r="31" spans="2:15" ht="5.25" customHeight="1" x14ac:dyDescent="0.25">
      <c r="B31" s="220"/>
      <c r="C31" s="248"/>
      <c r="D31" s="249"/>
      <c r="E31" s="249"/>
      <c r="F31" s="249"/>
      <c r="G31" s="249"/>
      <c r="H31" s="249"/>
      <c r="I31" s="230"/>
      <c r="L31" s="9"/>
      <c r="O31" s="9"/>
    </row>
    <row r="32" spans="2:15" s="27" customFormat="1" ht="25.5" customHeight="1" x14ac:dyDescent="0.25">
      <c r="B32" s="221"/>
      <c r="C32" s="281" t="s">
        <v>49</v>
      </c>
      <c r="D32" s="236"/>
      <c r="E32" s="237"/>
      <c r="F32" s="34" t="s">
        <v>46</v>
      </c>
      <c r="G32" s="24">
        <f>IF(SUM(H28+H30)&lt;=4,SUM(H28+H30),4)</f>
        <v>0</v>
      </c>
      <c r="H32" s="29"/>
      <c r="I32" s="36">
        <f>IF(SUM(H28+H30)&lt;=4,SUM(H30+H28),4)</f>
        <v>0</v>
      </c>
      <c r="J32" s="25"/>
      <c r="K32" s="28"/>
      <c r="L32" s="280"/>
      <c r="M32" s="29"/>
      <c r="N32" s="30">
        <f>N28+N30</f>
        <v>0</v>
      </c>
      <c r="O32" s="280"/>
    </row>
    <row r="33" spans="2:15" ht="5.25" customHeight="1" x14ac:dyDescent="0.25">
      <c r="B33" s="245"/>
      <c r="C33" s="282"/>
      <c r="D33" s="282"/>
      <c r="E33" s="246"/>
      <c r="F33" s="246"/>
      <c r="G33" s="246"/>
      <c r="H33" s="246"/>
      <c r="I33" s="247"/>
      <c r="L33" s="9"/>
      <c r="O33" s="9"/>
    </row>
    <row r="34" spans="2:15" ht="23.25" customHeight="1" x14ac:dyDescent="0.25">
      <c r="B34" s="222"/>
      <c r="C34" s="339" t="s">
        <v>4</v>
      </c>
      <c r="D34" s="340" t="s">
        <v>50</v>
      </c>
      <c r="E34" s="59" t="s">
        <v>51</v>
      </c>
      <c r="F34" s="43" t="s">
        <v>132</v>
      </c>
      <c r="G34" s="213" t="s">
        <v>3</v>
      </c>
      <c r="H34" s="41">
        <f>IF(F34="","",VLOOKUP(F34,'[2]Referencias Productivos'!E53:F56,2,FALSE))</f>
        <v>0</v>
      </c>
      <c r="I34" s="230"/>
      <c r="K34" s="19"/>
      <c r="L34" s="277"/>
      <c r="N34" s="19"/>
      <c r="O34" s="277"/>
    </row>
    <row r="35" spans="2:15" ht="5.25" customHeight="1" x14ac:dyDescent="0.25">
      <c r="B35" s="225"/>
      <c r="C35" s="340"/>
      <c r="D35" s="340"/>
      <c r="E35" s="249"/>
      <c r="F35" s="57"/>
      <c r="G35" s="249"/>
      <c r="H35" s="249"/>
      <c r="I35" s="230"/>
      <c r="L35" s="9"/>
      <c r="O35" s="9"/>
    </row>
    <row r="36" spans="2:15" ht="46.5" x14ac:dyDescent="0.25">
      <c r="B36" s="225">
        <v>3</v>
      </c>
      <c r="C36" s="341"/>
      <c r="D36" s="341"/>
      <c r="E36" s="59" t="s">
        <v>52</v>
      </c>
      <c r="F36" s="43" t="s">
        <v>132</v>
      </c>
      <c r="G36" s="213" t="s">
        <v>3</v>
      </c>
      <c r="H36" s="41">
        <f>IF(F36="","",VLOOKUP(F36,'[2]Referencias Productivos'!E53:F56,2,FALSE))</f>
        <v>0</v>
      </c>
      <c r="I36" s="230"/>
      <c r="K36" s="19"/>
      <c r="L36" s="277"/>
      <c r="N36" s="19"/>
      <c r="O36" s="277"/>
    </row>
    <row r="37" spans="2:15" ht="5.25" customHeight="1" x14ac:dyDescent="0.25">
      <c r="B37" s="220"/>
      <c r="C37" s="248"/>
      <c r="D37" s="249"/>
      <c r="E37" s="249"/>
      <c r="F37" s="249"/>
      <c r="G37" s="249"/>
      <c r="H37" s="249"/>
      <c r="I37" s="230"/>
      <c r="L37" s="9"/>
      <c r="O37" s="9"/>
    </row>
    <row r="38" spans="2:15" s="27" customFormat="1" ht="25.5" customHeight="1" x14ac:dyDescent="0.25">
      <c r="B38" s="221"/>
      <c r="C38" s="281" t="s">
        <v>53</v>
      </c>
      <c r="D38" s="236"/>
      <c r="E38" s="237"/>
      <c r="F38" s="34" t="s">
        <v>46</v>
      </c>
      <c r="G38" s="42"/>
      <c r="H38" s="29"/>
      <c r="I38" s="36">
        <f>IF(SUM(H34:H37)&lt;=4,SUM(H34:H37),4)</f>
        <v>0</v>
      </c>
      <c r="J38" s="25"/>
      <c r="K38" s="28"/>
      <c r="L38" s="280"/>
      <c r="M38" s="29"/>
      <c r="N38" s="30">
        <f>IF(SUM(N34:N37)&lt;=5,SUM(N34:N37),5)</f>
        <v>0</v>
      </c>
      <c r="O38" s="280"/>
    </row>
    <row r="39" spans="2:15" ht="5.25" customHeight="1" x14ac:dyDescent="0.25">
      <c r="B39" s="245"/>
      <c r="C39" s="246"/>
      <c r="D39" s="246"/>
      <c r="E39" s="246"/>
      <c r="F39" s="246"/>
      <c r="G39" s="246"/>
      <c r="H39" s="246"/>
      <c r="I39" s="247"/>
      <c r="L39" s="9"/>
      <c r="O39" s="9"/>
    </row>
    <row r="40" spans="2:15" ht="47.45" customHeight="1" x14ac:dyDescent="0.25">
      <c r="B40" s="211">
        <v>4</v>
      </c>
      <c r="C40" s="213" t="s">
        <v>54</v>
      </c>
      <c r="D40" s="213" t="s">
        <v>359</v>
      </c>
      <c r="E40" s="229" t="s">
        <v>55</v>
      </c>
      <c r="F40" s="43" t="s">
        <v>56</v>
      </c>
      <c r="G40" s="213" t="s">
        <v>5</v>
      </c>
      <c r="H40" s="41">
        <f>IF(F40="","",VLOOKUP(F40,'[2]Referencias Productivos'!E57:F60,2,FALSE))</f>
        <v>0</v>
      </c>
      <c r="I40" s="230"/>
      <c r="K40" s="19"/>
      <c r="L40" s="277"/>
      <c r="N40" s="19"/>
      <c r="O40" s="277"/>
    </row>
    <row r="41" spans="2:15" ht="5.25" customHeight="1" x14ac:dyDescent="0.25">
      <c r="B41" s="211"/>
      <c r="C41" s="248"/>
      <c r="D41" s="249"/>
      <c r="E41" s="249"/>
      <c r="F41" s="249"/>
      <c r="G41" s="249"/>
      <c r="H41" s="249"/>
      <c r="I41" s="230"/>
      <c r="L41" s="9"/>
      <c r="O41" s="9"/>
    </row>
    <row r="42" spans="2:15" s="27" customFormat="1" ht="25.5" customHeight="1" x14ac:dyDescent="0.25">
      <c r="B42" s="211"/>
      <c r="C42" s="281" t="s">
        <v>57</v>
      </c>
      <c r="D42" s="236"/>
      <c r="E42" s="237"/>
      <c r="F42" s="23" t="s">
        <v>46</v>
      </c>
      <c r="G42" s="24">
        <f>H40</f>
        <v>0</v>
      </c>
      <c r="H42" s="29"/>
      <c r="I42" s="36">
        <f>H40</f>
        <v>0</v>
      </c>
      <c r="J42" s="25"/>
      <c r="K42" s="28">
        <f>K40</f>
        <v>0</v>
      </c>
      <c r="L42" s="280"/>
      <c r="M42" s="29"/>
      <c r="N42" s="30">
        <f>N40</f>
        <v>0</v>
      </c>
      <c r="O42" s="280"/>
    </row>
    <row r="43" spans="2:15" ht="5.25" customHeight="1" thickBot="1" x14ac:dyDescent="0.3">
      <c r="B43" s="242"/>
      <c r="C43" s="243"/>
      <c r="D43" s="243"/>
      <c r="E43" s="243"/>
      <c r="F43" s="243"/>
      <c r="G43" s="243"/>
      <c r="H43" s="243"/>
      <c r="I43" s="244"/>
      <c r="J43" s="249"/>
      <c r="K43" s="33"/>
      <c r="L43" s="9"/>
      <c r="M43" s="3"/>
      <c r="O43" s="9"/>
    </row>
    <row r="44" spans="2:15" ht="24" customHeight="1" thickBot="1" x14ac:dyDescent="0.3">
      <c r="B44" s="44"/>
      <c r="C44" s="44"/>
      <c r="D44" s="44"/>
      <c r="E44" s="44"/>
      <c r="F44" s="44"/>
      <c r="G44" s="44"/>
      <c r="H44" s="44"/>
      <c r="I44" s="44"/>
      <c r="L44" s="9"/>
      <c r="O44" s="9"/>
    </row>
    <row r="45" spans="2:15" s="48" customFormat="1" ht="34.5" customHeight="1" thickBot="1" x14ac:dyDescent="0.3">
      <c r="B45" s="285" t="s">
        <v>58</v>
      </c>
      <c r="C45" s="201"/>
      <c r="D45" s="201"/>
      <c r="E45" s="201"/>
      <c r="F45" s="201"/>
      <c r="G45" s="201"/>
      <c r="H45" s="202"/>
      <c r="I45" s="45">
        <f>IF(SUM(I26+I32+I38+I42)&lt;=15,SUM(I26+I32+I38+I42),15)</f>
        <v>0</v>
      </c>
      <c r="J45" s="46"/>
      <c r="K45" s="47">
        <f>K22+K32+K42</f>
        <v>0</v>
      </c>
      <c r="L45" s="49"/>
      <c r="N45" s="49">
        <f>N22+N32+N42</f>
        <v>0</v>
      </c>
      <c r="O45" s="49"/>
    </row>
    <row r="46" spans="2:15" ht="24" customHeight="1" thickBot="1" x14ac:dyDescent="0.3">
      <c r="B46" s="44"/>
      <c r="C46" s="44"/>
      <c r="D46" s="44"/>
      <c r="E46" s="44"/>
      <c r="F46" s="44"/>
      <c r="G46" s="44"/>
      <c r="H46" s="44"/>
      <c r="I46" s="44"/>
      <c r="L46" s="9"/>
      <c r="O46" s="9"/>
    </row>
    <row r="47" spans="2:15" s="18" customFormat="1" ht="34.5" customHeight="1" thickBot="1" x14ac:dyDescent="0.3">
      <c r="B47" s="286" t="s">
        <v>59</v>
      </c>
      <c r="C47" s="238"/>
      <c r="D47" s="238"/>
      <c r="E47" s="238"/>
      <c r="F47" s="238"/>
      <c r="G47" s="238"/>
      <c r="H47" s="238"/>
      <c r="I47" s="239"/>
    </row>
    <row r="48" spans="2:15" ht="48" customHeight="1" x14ac:dyDescent="0.25">
      <c r="B48" s="287" t="s">
        <v>60</v>
      </c>
      <c r="C48" s="240"/>
      <c r="D48" s="240"/>
      <c r="E48" s="240"/>
      <c r="F48" s="240"/>
      <c r="G48" s="241"/>
      <c r="H48" s="50" t="s">
        <v>21</v>
      </c>
      <c r="I48" s="51" t="s">
        <v>251</v>
      </c>
      <c r="J48" s="52"/>
      <c r="L48" s="9"/>
      <c r="O48" s="9"/>
    </row>
    <row r="49" spans="2:15" ht="5.25" customHeight="1" x14ac:dyDescent="0.25">
      <c r="B49" s="53"/>
      <c r="C49" s="32"/>
      <c r="D49" s="32"/>
      <c r="E49" s="32"/>
      <c r="F49" s="32"/>
      <c r="G49" s="32"/>
      <c r="H49" s="32"/>
      <c r="I49" s="54"/>
      <c r="J49" s="52"/>
      <c r="L49" s="9"/>
      <c r="O49" s="9"/>
    </row>
    <row r="50" spans="2:15" ht="25.5" customHeight="1" x14ac:dyDescent="0.25">
      <c r="B50" s="222"/>
      <c r="C50" s="214"/>
      <c r="D50" s="234" t="s">
        <v>62</v>
      </c>
      <c r="E50" s="233" t="s">
        <v>63</v>
      </c>
      <c r="F50" s="234"/>
      <c r="G50" s="213" t="s">
        <v>64</v>
      </c>
      <c r="H50" s="41">
        <f>VLOOKUP($I$48,'[2]Referencias Productivos'!B7:AG35,3,FALSE)</f>
        <v>0.75</v>
      </c>
      <c r="I50" s="230"/>
      <c r="K50" s="19">
        <f>H50</f>
        <v>0.75</v>
      </c>
      <c r="L50" s="277"/>
      <c r="N50" s="19">
        <f>H50</f>
        <v>0.75</v>
      </c>
      <c r="O50" s="277"/>
    </row>
    <row r="51" spans="2:15" ht="5.25" customHeight="1" x14ac:dyDescent="0.25">
      <c r="B51" s="225"/>
      <c r="C51" s="215"/>
      <c r="D51" s="57"/>
      <c r="E51" s="21"/>
      <c r="F51" s="3"/>
      <c r="G51" s="3"/>
      <c r="H51" s="3"/>
      <c r="I51" s="22"/>
      <c r="K51" s="55"/>
      <c r="L51" s="9"/>
      <c r="N51" s="55"/>
      <c r="O51" s="9"/>
    </row>
    <row r="52" spans="2:15" x14ac:dyDescent="0.25">
      <c r="B52" s="225"/>
      <c r="C52" s="215"/>
      <c r="D52" s="234" t="s">
        <v>65</v>
      </c>
      <c r="E52" s="233" t="s">
        <v>66</v>
      </c>
      <c r="F52" s="234"/>
      <c r="G52" s="213" t="s">
        <v>6</v>
      </c>
      <c r="H52" s="41">
        <f>VLOOKUP($I$48,'[2]Referencias Productivos'!B7:AE35,5,FALSE)</f>
        <v>0</v>
      </c>
      <c r="I52" s="230"/>
      <c r="K52" s="19">
        <f t="shared" ref="K52:K62" si="0">H52</f>
        <v>0</v>
      </c>
      <c r="L52" s="277"/>
      <c r="N52" s="19">
        <f t="shared" ref="N52:N62" si="1">H52</f>
        <v>0</v>
      </c>
      <c r="O52" s="277"/>
    </row>
    <row r="53" spans="2:15" ht="5.25" customHeight="1" x14ac:dyDescent="0.25">
      <c r="B53" s="225"/>
      <c r="C53" s="215"/>
      <c r="D53" s="57"/>
      <c r="E53" s="21"/>
      <c r="F53" s="3"/>
      <c r="G53" s="3"/>
      <c r="H53" s="3"/>
      <c r="I53" s="22"/>
      <c r="K53" s="55"/>
      <c r="L53" s="9"/>
      <c r="N53" s="55"/>
      <c r="O53" s="9"/>
    </row>
    <row r="54" spans="2:15" x14ac:dyDescent="0.25">
      <c r="B54" s="225"/>
      <c r="C54" s="215"/>
      <c r="D54" s="235" t="s">
        <v>67</v>
      </c>
      <c r="E54" s="233" t="s">
        <v>68</v>
      </c>
      <c r="F54" s="234"/>
      <c r="G54" s="212" t="s">
        <v>69</v>
      </c>
      <c r="H54" s="41">
        <f>VLOOKUP($I$48,'[2]Referencias Productivos'!B7:AE35,7,FALSE)</f>
        <v>0.25</v>
      </c>
      <c r="I54" s="230"/>
      <c r="K54" s="19">
        <f t="shared" si="0"/>
        <v>0.25</v>
      </c>
      <c r="L54" s="277"/>
      <c r="N54" s="19">
        <f t="shared" si="1"/>
        <v>0.25</v>
      </c>
      <c r="O54" s="277"/>
    </row>
    <row r="55" spans="2:15" ht="5.25" customHeight="1" x14ac:dyDescent="0.25">
      <c r="B55" s="225"/>
      <c r="C55" s="215"/>
      <c r="D55" s="57"/>
      <c r="E55" s="57"/>
      <c r="F55" s="57"/>
      <c r="G55" s="249"/>
      <c r="H55" s="58"/>
      <c r="I55" s="230"/>
      <c r="K55" s="19"/>
      <c r="L55" s="9"/>
      <c r="N55" s="19"/>
      <c r="O55" s="9"/>
    </row>
    <row r="56" spans="2:15" ht="25.5" customHeight="1" x14ac:dyDescent="0.25">
      <c r="B56" s="225"/>
      <c r="C56" s="215" t="s">
        <v>360</v>
      </c>
      <c r="D56" s="235" t="s">
        <v>70</v>
      </c>
      <c r="E56" s="233" t="s">
        <v>71</v>
      </c>
      <c r="F56" s="234"/>
      <c r="G56" s="212" t="s">
        <v>6</v>
      </c>
      <c r="H56" s="41">
        <f>VLOOKUP($I$48,'[2]Referencias Productivos'!B7:AE35,9,FALSE)</f>
        <v>0.75</v>
      </c>
      <c r="I56" s="230"/>
      <c r="K56" s="19"/>
      <c r="L56" s="9"/>
      <c r="N56" s="19"/>
      <c r="O56" s="9"/>
    </row>
    <row r="57" spans="2:15" ht="5.25" customHeight="1" x14ac:dyDescent="0.25">
      <c r="B57" s="225"/>
      <c r="C57" s="215"/>
      <c r="D57" s="57"/>
      <c r="E57" s="57"/>
      <c r="F57" s="57"/>
      <c r="G57" s="249"/>
      <c r="H57" s="58"/>
      <c r="I57" s="230"/>
      <c r="K57" s="19"/>
      <c r="L57" s="9"/>
      <c r="N57" s="19"/>
      <c r="O57" s="9"/>
    </row>
    <row r="58" spans="2:15" x14ac:dyDescent="0.25">
      <c r="B58" s="225"/>
      <c r="C58" s="215" t="s">
        <v>361</v>
      </c>
      <c r="D58" s="235" t="s">
        <v>72</v>
      </c>
      <c r="E58" s="233" t="s">
        <v>73</v>
      </c>
      <c r="F58" s="234"/>
      <c r="G58" s="212" t="s">
        <v>64</v>
      </c>
      <c r="H58" s="41">
        <f>VLOOKUP($I$48,'[2]Referencias Productivos'!B7:AE35,11,FALSE)</f>
        <v>1</v>
      </c>
      <c r="I58" s="230"/>
      <c r="K58" s="19"/>
      <c r="L58" s="9"/>
      <c r="N58" s="19"/>
      <c r="O58" s="9"/>
    </row>
    <row r="59" spans="2:15" ht="5.25" customHeight="1" x14ac:dyDescent="0.25">
      <c r="B59" s="225"/>
      <c r="C59" s="215"/>
      <c r="D59" s="57"/>
      <c r="E59" s="57"/>
      <c r="F59" s="57"/>
      <c r="G59" s="249"/>
      <c r="H59" s="58"/>
      <c r="I59" s="230"/>
      <c r="K59" s="19"/>
      <c r="L59" s="9"/>
      <c r="N59" s="19"/>
      <c r="O59" s="9"/>
    </row>
    <row r="60" spans="2:15" x14ac:dyDescent="0.25">
      <c r="B60" s="225">
        <v>5</v>
      </c>
      <c r="C60" s="215" t="s">
        <v>362</v>
      </c>
      <c r="D60" s="235" t="s">
        <v>74</v>
      </c>
      <c r="E60" s="233" t="s">
        <v>75</v>
      </c>
      <c r="F60" s="234"/>
      <c r="G60" s="212" t="s">
        <v>6</v>
      </c>
      <c r="H60" s="41">
        <f>VLOOKUP($I$48,'[2]Referencias Productivos'!B7:AE35,13,FALSE)</f>
        <v>1</v>
      </c>
      <c r="I60" s="230"/>
      <c r="K60" s="19"/>
      <c r="L60" s="9"/>
      <c r="N60" s="19"/>
      <c r="O60" s="9"/>
    </row>
    <row r="61" spans="2:15" ht="5.25" customHeight="1" x14ac:dyDescent="0.25">
      <c r="B61" s="225"/>
      <c r="C61" s="215"/>
      <c r="D61" s="57"/>
      <c r="E61" s="3"/>
      <c r="F61" s="3"/>
      <c r="G61" s="3"/>
      <c r="H61" s="3"/>
      <c r="I61" s="22"/>
      <c r="K61" s="55"/>
      <c r="L61" s="9"/>
      <c r="N61" s="55"/>
      <c r="O61" s="9"/>
    </row>
    <row r="62" spans="2:15" ht="25.5" customHeight="1" x14ac:dyDescent="0.25">
      <c r="B62" s="225"/>
      <c r="C62" s="215"/>
      <c r="D62" s="235" t="s">
        <v>76</v>
      </c>
      <c r="E62" s="233" t="s">
        <v>77</v>
      </c>
      <c r="F62" s="234"/>
      <c r="G62" s="212" t="s">
        <v>1</v>
      </c>
      <c r="H62" s="41">
        <f>VLOOKUP($I$48,'[2]Referencias Productivos'!B7:AE35,15,FALSE)</f>
        <v>1.5</v>
      </c>
      <c r="I62" s="230"/>
      <c r="K62" s="19">
        <f t="shared" si="0"/>
        <v>1.5</v>
      </c>
      <c r="L62" s="277"/>
      <c r="N62" s="19">
        <f t="shared" si="1"/>
        <v>1.5</v>
      </c>
      <c r="O62" s="277"/>
    </row>
    <row r="63" spans="2:15" ht="5.25" customHeight="1" x14ac:dyDescent="0.25">
      <c r="B63" s="225"/>
      <c r="C63" s="215"/>
      <c r="D63" s="57"/>
      <c r="E63" s="3"/>
      <c r="F63" s="3"/>
      <c r="G63" s="249"/>
      <c r="H63" s="249"/>
      <c r="I63" s="230"/>
      <c r="L63" s="9"/>
      <c r="O63" s="9"/>
    </row>
    <row r="64" spans="2:15" s="27" customFormat="1" ht="25.5" customHeight="1" x14ac:dyDescent="0.25">
      <c r="B64" s="225"/>
      <c r="C64" s="215"/>
      <c r="D64" s="234" t="s">
        <v>78</v>
      </c>
      <c r="E64" s="288" t="s">
        <v>79</v>
      </c>
      <c r="F64" s="234"/>
      <c r="G64" s="213" t="s">
        <v>1</v>
      </c>
      <c r="H64" s="41">
        <f>VLOOKUP($I$48,'[2]Referencias Productivos'!B7:AE35,17,FALSE)</f>
        <v>1</v>
      </c>
      <c r="I64" s="230"/>
      <c r="J64" s="60"/>
      <c r="K64" s="28">
        <f>K50+K52+K54+K62</f>
        <v>2.5</v>
      </c>
      <c r="L64" s="280"/>
      <c r="M64" s="29"/>
      <c r="N64" s="30">
        <f>N50+N52+N54+N62</f>
        <v>2.5</v>
      </c>
      <c r="O64" s="280"/>
    </row>
    <row r="65" spans="2:15" ht="5.25" customHeight="1" x14ac:dyDescent="0.25">
      <c r="B65" s="225"/>
      <c r="C65" s="215"/>
      <c r="D65" s="289"/>
      <c r="E65" s="61"/>
      <c r="F65" s="61"/>
      <c r="G65" s="62"/>
      <c r="H65" s="61"/>
      <c r="I65" s="230"/>
      <c r="L65" s="9"/>
      <c r="O65" s="9"/>
    </row>
    <row r="66" spans="2:15" x14ac:dyDescent="0.25">
      <c r="B66" s="225"/>
      <c r="C66" s="215"/>
      <c r="D66" s="234" t="s">
        <v>80</v>
      </c>
      <c r="E66" s="235" t="s">
        <v>81</v>
      </c>
      <c r="F66" s="234"/>
      <c r="G66" s="213" t="s">
        <v>64</v>
      </c>
      <c r="H66" s="41">
        <f>VLOOKUP($I$48,'[2]Referencias Productivos'!B7:AE35,19,FALSE)</f>
        <v>1</v>
      </c>
      <c r="I66" s="230"/>
      <c r="K66" s="19">
        <f>H74</f>
        <v>0</v>
      </c>
      <c r="L66" s="277"/>
      <c r="N66" s="19">
        <f>H74</f>
        <v>0</v>
      </c>
      <c r="O66" s="277"/>
    </row>
    <row r="67" spans="2:15" ht="5.25" customHeight="1" x14ac:dyDescent="0.25">
      <c r="B67" s="225"/>
      <c r="C67" s="215"/>
      <c r="D67" s="234"/>
      <c r="E67" s="57"/>
      <c r="F67" s="57"/>
      <c r="G67" s="249"/>
      <c r="H67" s="58"/>
      <c r="I67" s="230"/>
      <c r="K67" s="63"/>
      <c r="L67" s="9"/>
      <c r="N67" s="55"/>
      <c r="O67" s="9"/>
    </row>
    <row r="68" spans="2:15" ht="46.5" x14ac:dyDescent="0.25">
      <c r="B68" s="225"/>
      <c r="C68" s="215"/>
      <c r="D68" s="234" t="s">
        <v>82</v>
      </c>
      <c r="E68" s="235" t="s">
        <v>83</v>
      </c>
      <c r="F68" s="234"/>
      <c r="G68" s="213" t="s">
        <v>1</v>
      </c>
      <c r="H68" s="41">
        <f>VLOOKUP($I$48,'[2]Referencias Productivos'!B7:AE35,21,FALSE)</f>
        <v>1.5</v>
      </c>
      <c r="I68" s="230"/>
      <c r="K68" s="19">
        <f>H76</f>
        <v>1.5</v>
      </c>
      <c r="L68" s="277"/>
      <c r="N68" s="19">
        <f>H76</f>
        <v>1.5</v>
      </c>
      <c r="O68" s="277"/>
    </row>
    <row r="69" spans="2:15" ht="5.25" customHeight="1" x14ac:dyDescent="0.25">
      <c r="B69" s="225"/>
      <c r="C69" s="215"/>
      <c r="D69" s="234"/>
      <c r="E69" s="64"/>
      <c r="F69" s="59"/>
      <c r="G69" s="213"/>
      <c r="H69" s="65"/>
      <c r="I69" s="230"/>
      <c r="K69" s="63"/>
      <c r="L69" s="9"/>
      <c r="N69" s="55"/>
      <c r="O69" s="9"/>
    </row>
    <row r="70" spans="2:15" ht="46.5" x14ac:dyDescent="0.25">
      <c r="B70" s="225"/>
      <c r="C70" s="216"/>
      <c r="D70" s="234" t="s">
        <v>84</v>
      </c>
      <c r="E70" s="235" t="s">
        <v>85</v>
      </c>
      <c r="F70" s="234"/>
      <c r="G70" s="213" t="s">
        <v>6</v>
      </c>
      <c r="H70" s="41">
        <f>VLOOKUP($I$48,'[2]Referencias Productivos'!B7:AE35,23,FALSE)</f>
        <v>1</v>
      </c>
      <c r="I70" s="230"/>
      <c r="K70" s="19">
        <f>H78</f>
        <v>2.25</v>
      </c>
      <c r="L70" s="277"/>
      <c r="N70" s="19">
        <f>H78</f>
        <v>2.25</v>
      </c>
      <c r="O70" s="277"/>
    </row>
    <row r="71" spans="2:15" ht="5.25" customHeight="1" x14ac:dyDescent="0.25">
      <c r="B71" s="225"/>
      <c r="C71" s="21"/>
      <c r="D71" s="3"/>
      <c r="E71" s="3"/>
      <c r="F71" s="3"/>
      <c r="G71" s="3"/>
      <c r="H71" s="3"/>
      <c r="I71" s="22"/>
      <c r="L71" s="9"/>
      <c r="O71" s="9"/>
    </row>
    <row r="72" spans="2:15" s="27" customFormat="1" ht="25.5" customHeight="1" x14ac:dyDescent="0.25">
      <c r="B72" s="226"/>
      <c r="C72" s="281" t="s">
        <v>86</v>
      </c>
      <c r="D72" s="236"/>
      <c r="E72" s="237"/>
      <c r="F72" s="34" t="s">
        <v>46</v>
      </c>
      <c r="G72" s="24">
        <f>H50+H52+H54+H56+H58+H60+H62+H64+H66+H68+H70</f>
        <v>9.75</v>
      </c>
      <c r="H72" s="29"/>
      <c r="I72" s="66">
        <f>VLOOKUP($I$48,'[2]Referencias Productivos'!B7:AE35,24,FALSE)</f>
        <v>9.75</v>
      </c>
      <c r="J72" s="60"/>
      <c r="K72" s="28">
        <f>K66+K68+K70</f>
        <v>3.75</v>
      </c>
      <c r="L72" s="280"/>
      <c r="M72" s="29"/>
      <c r="N72" s="30">
        <f>N66+N68+N70</f>
        <v>3.75</v>
      </c>
      <c r="O72" s="280"/>
    </row>
    <row r="73" spans="2:15" ht="6" customHeight="1" x14ac:dyDescent="0.25">
      <c r="B73" s="67"/>
      <c r="C73" s="3"/>
      <c r="D73" s="3"/>
      <c r="E73" s="3"/>
      <c r="F73" s="3"/>
      <c r="G73" s="3"/>
      <c r="H73" s="3"/>
      <c r="I73" s="22"/>
      <c r="L73" s="9"/>
      <c r="O73" s="9"/>
    </row>
    <row r="74" spans="2:15" ht="23.25" customHeight="1" x14ac:dyDescent="0.25">
      <c r="B74" s="219"/>
      <c r="C74" s="252"/>
      <c r="D74" s="212" t="s">
        <v>87</v>
      </c>
      <c r="E74" s="233" t="s">
        <v>88</v>
      </c>
      <c r="F74" s="234"/>
      <c r="G74" s="213">
        <v>0.25</v>
      </c>
      <c r="H74" s="41">
        <f>VLOOKUP($I$48,'[2]Referencias Productivos'!B7:AE35,26,FALSE)</f>
        <v>0</v>
      </c>
      <c r="I74" s="22"/>
      <c r="L74" s="9"/>
      <c r="O74" s="9"/>
    </row>
    <row r="75" spans="2:15" ht="6" customHeight="1" x14ac:dyDescent="0.25">
      <c r="B75" s="220"/>
      <c r="C75" s="253"/>
      <c r="D75" s="3"/>
      <c r="E75" s="3"/>
      <c r="F75" s="3"/>
      <c r="G75" s="3"/>
      <c r="H75" s="3"/>
      <c r="I75" s="22"/>
      <c r="L75" s="9"/>
      <c r="O75" s="9"/>
    </row>
    <row r="76" spans="2:15" x14ac:dyDescent="0.25">
      <c r="B76" s="220">
        <v>6</v>
      </c>
      <c r="C76" s="253" t="s">
        <v>360</v>
      </c>
      <c r="D76" s="212" t="s">
        <v>89</v>
      </c>
      <c r="E76" s="235" t="s">
        <v>90</v>
      </c>
      <c r="F76" s="234"/>
      <c r="G76" s="213" t="s">
        <v>64</v>
      </c>
      <c r="H76" s="41">
        <f>VLOOKUP($I$48,'[2]Referencias Productivos'!B7:AE35,28,FALSE)</f>
        <v>1.5</v>
      </c>
      <c r="I76" s="22"/>
      <c r="L76" s="9"/>
      <c r="O76" s="9"/>
    </row>
    <row r="77" spans="2:15" ht="6" customHeight="1" x14ac:dyDescent="0.25">
      <c r="B77" s="220"/>
      <c r="C77" s="253"/>
      <c r="D77" s="3"/>
      <c r="E77" s="3"/>
      <c r="F77" s="3"/>
      <c r="G77" s="3"/>
      <c r="H77" s="3"/>
      <c r="I77" s="22"/>
      <c r="L77" s="9"/>
      <c r="O77" s="9"/>
    </row>
    <row r="78" spans="2:15" ht="25.5" customHeight="1" x14ac:dyDescent="0.25">
      <c r="B78" s="221"/>
      <c r="C78" s="290" t="s">
        <v>363</v>
      </c>
      <c r="D78" s="212" t="s">
        <v>91</v>
      </c>
      <c r="E78" s="235" t="s">
        <v>92</v>
      </c>
      <c r="F78" s="234"/>
      <c r="G78" s="213" t="s">
        <v>93</v>
      </c>
      <c r="H78" s="41">
        <f>VLOOKUP($I$48,'[2]Referencias Productivos'!B7:AE35,30,FALSE)</f>
        <v>2.25</v>
      </c>
      <c r="I78" s="230"/>
      <c r="K78" s="19">
        <f>H68</f>
        <v>1.5</v>
      </c>
      <c r="L78" s="277"/>
      <c r="N78" s="19">
        <f>H68</f>
        <v>1.5</v>
      </c>
      <c r="O78" s="277"/>
    </row>
    <row r="79" spans="2:15" ht="5.25" customHeight="1" x14ac:dyDescent="0.25">
      <c r="B79" s="221"/>
      <c r="C79" s="21"/>
      <c r="D79" s="3"/>
      <c r="E79" s="3"/>
      <c r="F79" s="3"/>
      <c r="G79" s="3"/>
      <c r="H79" s="3"/>
      <c r="I79" s="22"/>
      <c r="L79" s="9"/>
      <c r="O79" s="9"/>
    </row>
    <row r="80" spans="2:15" s="27" customFormat="1" ht="25.5" customHeight="1" x14ac:dyDescent="0.25">
      <c r="B80" s="211"/>
      <c r="C80" s="281" t="s">
        <v>94</v>
      </c>
      <c r="D80" s="236"/>
      <c r="E80" s="237"/>
      <c r="F80" s="34" t="s">
        <v>46</v>
      </c>
      <c r="G80" s="24">
        <f>H74+H76+H78</f>
        <v>3.75</v>
      </c>
      <c r="H80" s="29"/>
      <c r="I80" s="66">
        <f>VLOOKUP($I$48,'[2]Referencias Productivos'!B7:AG35,31,FALSE)</f>
        <v>3.75</v>
      </c>
      <c r="J80" s="60"/>
      <c r="K80" s="28" t="e">
        <f>K78+#REF!</f>
        <v>#REF!</v>
      </c>
      <c r="L80" s="280"/>
      <c r="M80" s="29"/>
      <c r="N80" s="30" t="e">
        <f>N78+#REF!</f>
        <v>#REF!</v>
      </c>
      <c r="O80" s="280"/>
    </row>
    <row r="81" spans="2:18" ht="5.25" customHeight="1" thickBot="1" x14ac:dyDescent="0.3">
      <c r="B81" s="68"/>
      <c r="C81" s="44"/>
      <c r="D81" s="44"/>
      <c r="E81" s="44"/>
      <c r="F81" s="44"/>
      <c r="G81" s="44"/>
      <c r="H81" s="44"/>
      <c r="I81" s="69"/>
      <c r="L81" s="9"/>
      <c r="O81" s="9"/>
    </row>
    <row r="82" spans="2:18" ht="24" customHeight="1" thickBot="1" x14ac:dyDescent="0.3">
      <c r="B82" s="3"/>
      <c r="C82" s="3"/>
      <c r="D82" s="3"/>
      <c r="E82" s="3"/>
      <c r="F82" s="3"/>
      <c r="G82" s="3"/>
      <c r="H82" s="3"/>
      <c r="I82" s="3"/>
      <c r="L82" s="9"/>
      <c r="O82" s="9"/>
    </row>
    <row r="83" spans="2:18" s="48" customFormat="1" ht="34.5" customHeight="1" thickBot="1" x14ac:dyDescent="0.3">
      <c r="B83" s="291" t="s">
        <v>95</v>
      </c>
      <c r="C83" s="203"/>
      <c r="D83" s="203"/>
      <c r="E83" s="203"/>
      <c r="F83" s="203"/>
      <c r="G83" s="203"/>
      <c r="H83" s="204"/>
      <c r="I83" s="70">
        <f>VLOOKUP($I$48,'[2]Referencias Productivos'!B7:AG35,32,FALSE)</f>
        <v>13.5</v>
      </c>
      <c r="J83" s="46"/>
      <c r="K83" s="47" t="e">
        <f>K64+K72+K80</f>
        <v>#REF!</v>
      </c>
      <c r="L83" s="49"/>
      <c r="N83" s="49" t="e">
        <f>N64+N72+N80</f>
        <v>#REF!</v>
      </c>
      <c r="O83" s="49"/>
      <c r="R83" s="46"/>
    </row>
    <row r="84" spans="2:18" ht="24" customHeight="1" thickBot="1" x14ac:dyDescent="0.3">
      <c r="B84" s="71"/>
      <c r="C84" s="71"/>
      <c r="D84" s="71"/>
      <c r="E84" s="71"/>
      <c r="F84" s="71"/>
      <c r="G84" s="71"/>
      <c r="H84" s="71"/>
      <c r="I84" s="71"/>
      <c r="L84" s="9"/>
      <c r="O84" s="9"/>
    </row>
    <row r="85" spans="2:18" s="18" customFormat="1" ht="34.5" customHeight="1" thickBot="1" x14ac:dyDescent="0.3">
      <c r="B85" s="292" t="s">
        <v>96</v>
      </c>
      <c r="C85" s="231"/>
      <c r="D85" s="231"/>
      <c r="E85" s="231"/>
      <c r="F85" s="231"/>
      <c r="G85" s="231"/>
      <c r="H85" s="231"/>
      <c r="I85" s="232"/>
    </row>
    <row r="86" spans="2:18" ht="5.25" customHeight="1" x14ac:dyDescent="0.25">
      <c r="B86" s="72"/>
      <c r="C86" s="293"/>
      <c r="D86" s="293"/>
      <c r="E86" s="293"/>
      <c r="F86" s="73"/>
      <c r="G86" s="73"/>
      <c r="H86" s="73"/>
      <c r="I86" s="74"/>
    </row>
    <row r="87" spans="2:18" ht="25.5" customHeight="1" x14ac:dyDescent="0.25">
      <c r="B87" s="214"/>
      <c r="C87" s="339" t="s">
        <v>97</v>
      </c>
      <c r="D87" s="345" t="s">
        <v>98</v>
      </c>
      <c r="E87" s="350" t="s">
        <v>364</v>
      </c>
      <c r="F87" s="229" t="s">
        <v>100</v>
      </c>
      <c r="G87" s="213" t="s">
        <v>101</v>
      </c>
      <c r="H87" s="294">
        <v>0</v>
      </c>
      <c r="I87" s="75">
        <f>IF(PRODUCT(H87*6)&lt;=12,PRODUCT(H87*6),12)</f>
        <v>0</v>
      </c>
      <c r="K87" s="19"/>
      <c r="L87" s="277"/>
      <c r="N87" s="19"/>
      <c r="O87" s="277"/>
    </row>
    <row r="88" spans="2:18" ht="5.25" customHeight="1" x14ac:dyDescent="0.25">
      <c r="B88" s="215"/>
      <c r="C88" s="340"/>
      <c r="D88" s="346"/>
      <c r="E88" s="351"/>
      <c r="F88" s="295"/>
      <c r="G88" s="64"/>
      <c r="H88" s="76"/>
      <c r="I88" s="77"/>
      <c r="L88" s="9"/>
      <c r="O88" s="9"/>
    </row>
    <row r="89" spans="2:18" ht="100.5" customHeight="1" x14ac:dyDescent="0.25">
      <c r="B89" s="215">
        <v>7</v>
      </c>
      <c r="C89" s="340"/>
      <c r="D89" s="347"/>
      <c r="E89" s="352"/>
      <c r="F89" s="229" t="s">
        <v>102</v>
      </c>
      <c r="G89" s="213" t="s">
        <v>5</v>
      </c>
      <c r="H89" s="294">
        <v>0</v>
      </c>
      <c r="I89" s="75">
        <f>IF(PRODUCT(H89*3)&lt;=12,PRODUCT(H89*3),12)</f>
        <v>0</v>
      </c>
      <c r="K89" s="19"/>
      <c r="L89" s="277"/>
      <c r="N89" s="19"/>
      <c r="O89" s="277"/>
    </row>
    <row r="90" spans="2:18" ht="5.25" customHeight="1" x14ac:dyDescent="0.25">
      <c r="B90" s="215"/>
      <c r="C90" s="340"/>
      <c r="D90" s="296"/>
      <c r="E90" s="297"/>
      <c r="F90" s="78"/>
      <c r="G90" s="78"/>
      <c r="H90" s="79"/>
      <c r="I90" s="80"/>
      <c r="L90" s="9"/>
      <c r="O90" s="9"/>
    </row>
    <row r="91" spans="2:18" ht="60.75" x14ac:dyDescent="0.25">
      <c r="B91" s="216"/>
      <c r="C91" s="341"/>
      <c r="D91" s="59" t="s">
        <v>103</v>
      </c>
      <c r="E91" s="19" t="s">
        <v>365</v>
      </c>
      <c r="F91" s="298" t="s">
        <v>132</v>
      </c>
      <c r="G91" s="213" t="s">
        <v>5</v>
      </c>
      <c r="H91" s="75">
        <f>IF(F91="","",VLOOKUP(F91,'[2]Referencias Productivos'!E66:F67,2,FALSE))</f>
        <v>0</v>
      </c>
      <c r="I91" s="75">
        <f>H91</f>
        <v>0</v>
      </c>
      <c r="K91" s="19"/>
      <c r="L91" s="277"/>
      <c r="N91" s="19"/>
      <c r="O91" s="277"/>
    </row>
    <row r="92" spans="2:18" ht="5.25" customHeight="1" x14ac:dyDescent="0.25">
      <c r="B92" s="221"/>
      <c r="C92" s="21"/>
      <c r="D92" s="3"/>
      <c r="E92" s="3"/>
      <c r="F92" s="3"/>
      <c r="G92" s="3"/>
      <c r="H92" s="3"/>
      <c r="I92" s="77"/>
      <c r="L92" s="9"/>
      <c r="O92" s="9"/>
    </row>
    <row r="93" spans="2:18" ht="25.5" customHeight="1" x14ac:dyDescent="0.25">
      <c r="B93" s="211"/>
      <c r="C93" s="299" t="s">
        <v>104</v>
      </c>
      <c r="D93" s="300"/>
      <c r="E93" s="210"/>
      <c r="F93" s="82" t="s">
        <v>46</v>
      </c>
      <c r="G93" s="3"/>
      <c r="H93" s="3"/>
      <c r="I93" s="66">
        <f>(IF(SUM(I87+I89)&lt;=12,SUM(I87+I89),12))+I91</f>
        <v>0</v>
      </c>
      <c r="J93" s="58"/>
      <c r="K93" s="83">
        <f>K87+K89+K91</f>
        <v>0</v>
      </c>
      <c r="L93" s="9"/>
      <c r="M93" s="3"/>
      <c r="N93" s="19">
        <f>N87+N89+N91</f>
        <v>0</v>
      </c>
      <c r="O93" s="9"/>
    </row>
    <row r="94" spans="2:18" ht="5.25" customHeight="1" x14ac:dyDescent="0.25">
      <c r="B94" s="67"/>
      <c r="C94" s="223"/>
      <c r="D94" s="223"/>
      <c r="E94" s="223"/>
      <c r="F94" s="223"/>
      <c r="G94" s="223"/>
      <c r="H94" s="223"/>
      <c r="I94" s="224"/>
      <c r="L94" s="9"/>
      <c r="O94" s="9"/>
    </row>
    <row r="95" spans="2:18" ht="23.25" customHeight="1" x14ac:dyDescent="0.25">
      <c r="B95" s="214"/>
      <c r="C95" s="339" t="s">
        <v>105</v>
      </c>
      <c r="D95" s="345" t="s">
        <v>106</v>
      </c>
      <c r="E95" s="19" t="s">
        <v>107</v>
      </c>
      <c r="F95" s="298" t="s">
        <v>132</v>
      </c>
      <c r="G95" s="213" t="s">
        <v>3</v>
      </c>
      <c r="H95" s="81">
        <f>IF(F95="","",VLOOKUP(F95,'[2]Referencias Productivos'!E68:F69,2,FALSE))</f>
        <v>0</v>
      </c>
      <c r="I95" s="75">
        <f>H95</f>
        <v>0</v>
      </c>
      <c r="L95" s="9"/>
      <c r="O95" s="9"/>
    </row>
    <row r="96" spans="2:18" ht="5.25" customHeight="1" x14ac:dyDescent="0.25">
      <c r="B96" s="215"/>
      <c r="C96" s="340"/>
      <c r="D96" s="346"/>
      <c r="E96" s="19"/>
      <c r="F96" s="56"/>
      <c r="G96" s="64"/>
      <c r="H96" s="76"/>
      <c r="I96" s="77"/>
      <c r="L96" s="9"/>
      <c r="O96" s="9"/>
    </row>
    <row r="97" spans="2:15" ht="31.5" customHeight="1" x14ac:dyDescent="0.25">
      <c r="B97" s="215"/>
      <c r="C97" s="340"/>
      <c r="D97" s="347"/>
      <c r="E97" s="19" t="s">
        <v>108</v>
      </c>
      <c r="F97" s="298" t="s">
        <v>132</v>
      </c>
      <c r="G97" s="213" t="s">
        <v>6</v>
      </c>
      <c r="H97" s="81">
        <f>IF(F97="","",VLOOKUP(F97,'[2]Referencias Productivos'!E70:F71,2,FALSE))</f>
        <v>0</v>
      </c>
      <c r="I97" s="75">
        <f>H97</f>
        <v>0</v>
      </c>
      <c r="K97" s="19"/>
      <c r="L97" s="277"/>
      <c r="N97" s="19"/>
      <c r="O97" s="277"/>
    </row>
    <row r="98" spans="2:15" ht="5.25" customHeight="1" x14ac:dyDescent="0.25">
      <c r="B98" s="215"/>
      <c r="C98" s="340"/>
      <c r="D98" s="195"/>
      <c r="E98" s="29"/>
      <c r="F98" s="301"/>
      <c r="G98" s="78"/>
      <c r="H98" s="79"/>
      <c r="I98" s="80"/>
      <c r="L98" s="9"/>
      <c r="O98" s="9"/>
    </row>
    <row r="99" spans="2:15" x14ac:dyDescent="0.25">
      <c r="B99" s="215">
        <v>8</v>
      </c>
      <c r="C99" s="340"/>
      <c r="D99" s="346" t="s">
        <v>109</v>
      </c>
      <c r="E99" s="59" t="s">
        <v>110</v>
      </c>
      <c r="F99" s="298" t="s">
        <v>132</v>
      </c>
      <c r="G99" s="213" t="s">
        <v>1</v>
      </c>
      <c r="H99" s="81">
        <f>IF(F99="","",VLOOKUP(F99,'[2]Referencias Productivos'!E72:F73,2,FALSE))</f>
        <v>0</v>
      </c>
      <c r="I99" s="75">
        <f>H99</f>
        <v>0</v>
      </c>
      <c r="L99" s="9"/>
      <c r="O99" s="9"/>
    </row>
    <row r="100" spans="2:15" ht="5.25" customHeight="1" x14ac:dyDescent="0.25">
      <c r="B100" s="215"/>
      <c r="C100" s="340"/>
      <c r="D100" s="346"/>
      <c r="E100" s="59"/>
      <c r="F100" s="301"/>
      <c r="G100" s="78"/>
      <c r="H100" s="79"/>
      <c r="I100" s="80"/>
      <c r="L100" s="9"/>
      <c r="O100" s="9"/>
    </row>
    <row r="101" spans="2:15" x14ac:dyDescent="0.25">
      <c r="B101" s="215"/>
      <c r="C101" s="340"/>
      <c r="D101" s="346"/>
      <c r="E101" s="59" t="s">
        <v>111</v>
      </c>
      <c r="F101" s="298" t="s">
        <v>132</v>
      </c>
      <c r="G101" s="213" t="s">
        <v>1</v>
      </c>
      <c r="H101" s="81">
        <f>IF(F101="","",VLOOKUP(F101,'[2]Referencias Productivos'!E74:F75,2,FALSE))</f>
        <v>0</v>
      </c>
      <c r="I101" s="75">
        <f>H101</f>
        <v>0</v>
      </c>
      <c r="L101" s="9"/>
      <c r="O101" s="9"/>
    </row>
    <row r="102" spans="2:15" ht="5.25" customHeight="1" x14ac:dyDescent="0.25">
      <c r="B102" s="215"/>
      <c r="C102" s="340"/>
      <c r="D102" s="346"/>
      <c r="E102" s="59"/>
      <c r="F102" s="301"/>
      <c r="G102" s="78"/>
      <c r="H102" s="79"/>
      <c r="I102" s="80"/>
      <c r="L102" s="9"/>
      <c r="O102" s="9"/>
    </row>
    <row r="103" spans="2:15" ht="42" x14ac:dyDescent="0.25">
      <c r="B103" s="216"/>
      <c r="C103" s="341"/>
      <c r="D103" s="347"/>
      <c r="E103" s="59" t="s">
        <v>108</v>
      </c>
      <c r="F103" s="298" t="s">
        <v>132</v>
      </c>
      <c r="G103" s="213" t="s">
        <v>6</v>
      </c>
      <c r="H103" s="81">
        <f>IF(F103="","",VLOOKUP(F103,'[2]Referencias Productivos'!E76:F77,2,FALSE))</f>
        <v>0</v>
      </c>
      <c r="I103" s="75">
        <f>H103</f>
        <v>0</v>
      </c>
      <c r="K103" s="19"/>
      <c r="L103" s="277"/>
      <c r="N103" s="19"/>
      <c r="O103" s="277"/>
    </row>
    <row r="104" spans="2:15" ht="5.25" customHeight="1" x14ac:dyDescent="0.25">
      <c r="B104" s="225"/>
      <c r="C104" s="223"/>
      <c r="D104" s="249"/>
      <c r="E104" s="223"/>
      <c r="F104" s="223"/>
      <c r="G104" s="223"/>
      <c r="H104" s="223"/>
      <c r="I104" s="230"/>
      <c r="L104" s="9"/>
      <c r="O104" s="9"/>
    </row>
    <row r="105" spans="2:15" s="27" customFormat="1" ht="25.5" customHeight="1" x14ac:dyDescent="0.25">
      <c r="B105" s="226"/>
      <c r="C105" s="299" t="s">
        <v>112</v>
      </c>
      <c r="D105" s="209"/>
      <c r="E105" s="210"/>
      <c r="F105" s="82" t="s">
        <v>46</v>
      </c>
      <c r="G105" s="84">
        <f>I95+I97+I99+I101+I103</f>
        <v>0</v>
      </c>
      <c r="H105" s="25"/>
      <c r="I105" s="66">
        <f>I95+I97+I99+I101+I103</f>
        <v>0</v>
      </c>
      <c r="J105" s="60"/>
      <c r="K105" s="28">
        <f>K95+K97+K101</f>
        <v>0</v>
      </c>
      <c r="L105" s="280"/>
      <c r="M105" s="29"/>
      <c r="N105" s="30">
        <f>N95+N97+N101</f>
        <v>0</v>
      </c>
      <c r="O105" s="280"/>
    </row>
    <row r="106" spans="2:15" ht="5.25" customHeight="1" x14ac:dyDescent="0.25">
      <c r="B106" s="222"/>
      <c r="C106" s="223"/>
      <c r="D106" s="223"/>
      <c r="E106" s="223"/>
      <c r="F106" s="223"/>
      <c r="G106" s="223"/>
      <c r="H106" s="223"/>
      <c r="I106" s="224"/>
      <c r="K106" s="19"/>
      <c r="L106" s="277"/>
      <c r="N106" s="19"/>
      <c r="O106" s="277"/>
    </row>
    <row r="107" spans="2:15" x14ac:dyDescent="0.25">
      <c r="B107" s="214">
        <v>9</v>
      </c>
      <c r="C107" s="339" t="s">
        <v>8</v>
      </c>
      <c r="D107" s="229" t="s">
        <v>113</v>
      </c>
      <c r="E107" s="229" t="s">
        <v>366</v>
      </c>
      <c r="F107" s="298" t="s">
        <v>132</v>
      </c>
      <c r="G107" s="213" t="s">
        <v>1</v>
      </c>
      <c r="H107" s="81">
        <f>IF(F107="","",VLOOKUP(F107,'[2]Referencias Productivos'!E78:F79,2,FALSE))</f>
        <v>0</v>
      </c>
      <c r="I107" s="75">
        <f>H107</f>
        <v>0</v>
      </c>
      <c r="K107" s="19"/>
      <c r="L107" s="277"/>
      <c r="N107" s="19"/>
      <c r="O107" s="277"/>
    </row>
    <row r="108" spans="2:15" ht="5.25" customHeight="1" x14ac:dyDescent="0.25">
      <c r="B108" s="215"/>
      <c r="C108" s="340"/>
      <c r="D108" s="30"/>
      <c r="E108" s="30"/>
      <c r="F108" s="301"/>
      <c r="G108" s="78"/>
      <c r="H108" s="79"/>
      <c r="I108" s="80"/>
      <c r="L108" s="9"/>
      <c r="O108" s="9"/>
    </row>
    <row r="109" spans="2:15" ht="65.25" x14ac:dyDescent="0.25">
      <c r="B109" s="216"/>
      <c r="C109" s="341"/>
      <c r="D109" s="19" t="s">
        <v>114</v>
      </c>
      <c r="E109" s="19" t="s">
        <v>367</v>
      </c>
      <c r="F109" s="298" t="s">
        <v>132</v>
      </c>
      <c r="G109" s="213" t="s">
        <v>5</v>
      </c>
      <c r="H109" s="302">
        <f>IF(F109="","",VLOOKUP(F109,'[2]Referencias Productivos'!E80:F81,2,FALSE))</f>
        <v>0</v>
      </c>
      <c r="I109" s="75">
        <f>H109</f>
        <v>0</v>
      </c>
      <c r="K109" s="19"/>
      <c r="L109" s="277"/>
      <c r="N109" s="19"/>
      <c r="O109" s="277"/>
    </row>
    <row r="110" spans="2:15" ht="5.25" customHeight="1" x14ac:dyDescent="0.25">
      <c r="B110" s="225"/>
      <c r="C110" s="32"/>
      <c r="D110" s="32"/>
      <c r="E110" s="32"/>
      <c r="F110" s="32"/>
      <c r="G110" s="32"/>
      <c r="H110" s="64"/>
      <c r="I110" s="230"/>
      <c r="L110" s="9"/>
      <c r="O110" s="9"/>
    </row>
    <row r="111" spans="2:15" s="27" customFormat="1" ht="25.5" customHeight="1" x14ac:dyDescent="0.25">
      <c r="B111" s="226"/>
      <c r="C111" s="299" t="s">
        <v>115</v>
      </c>
      <c r="D111" s="209"/>
      <c r="E111" s="210"/>
      <c r="F111" s="82" t="s">
        <v>46</v>
      </c>
      <c r="G111" s="84">
        <f>I107+I109</f>
        <v>0</v>
      </c>
      <c r="H111" s="303"/>
      <c r="I111" s="66">
        <f>I107+I109</f>
        <v>0</v>
      </c>
      <c r="J111" s="60"/>
      <c r="K111" s="28">
        <f>K101+K103+K107</f>
        <v>0</v>
      </c>
      <c r="L111" s="280"/>
      <c r="M111" s="29"/>
      <c r="N111" s="30">
        <f>N101+N103+N107</f>
        <v>0</v>
      </c>
      <c r="O111" s="280"/>
    </row>
    <row r="112" spans="2:15" ht="5.25" customHeight="1" x14ac:dyDescent="0.25">
      <c r="B112" s="53"/>
      <c r="C112" s="32"/>
      <c r="D112" s="32"/>
      <c r="E112" s="32"/>
      <c r="F112" s="32"/>
      <c r="G112" s="32"/>
      <c r="H112" s="32"/>
      <c r="I112" s="54"/>
      <c r="K112" s="19"/>
      <c r="L112" s="277"/>
      <c r="N112" s="19"/>
      <c r="O112" s="277"/>
    </row>
    <row r="113" spans="2:15" ht="46.5" x14ac:dyDescent="0.35">
      <c r="B113" s="214">
        <v>10</v>
      </c>
      <c r="C113" s="339" t="s">
        <v>9</v>
      </c>
      <c r="D113" s="19" t="s">
        <v>116</v>
      </c>
      <c r="E113" s="85" t="s">
        <v>117</v>
      </c>
      <c r="F113" s="43" t="s">
        <v>298</v>
      </c>
      <c r="G113" s="213" t="s">
        <v>5</v>
      </c>
      <c r="H113" s="41">
        <f>IF(F113="","",VLOOKUP(F113,'[2]Referencias Productivos'!E82:F85,2,FALSE))</f>
        <v>0</v>
      </c>
      <c r="I113" s="304"/>
      <c r="K113" s="19"/>
      <c r="L113" s="277"/>
      <c r="N113" s="19"/>
      <c r="O113" s="277"/>
    </row>
    <row r="114" spans="2:15" ht="5.25" customHeight="1" x14ac:dyDescent="0.25">
      <c r="B114" s="215"/>
      <c r="C114" s="340"/>
      <c r="D114" s="19"/>
      <c r="E114" s="19"/>
      <c r="F114" s="213"/>
      <c r="G114" s="19"/>
      <c r="H114" s="55"/>
      <c r="I114" s="80"/>
      <c r="L114" s="9"/>
      <c r="O114" s="9"/>
    </row>
    <row r="115" spans="2:15" ht="25.5" customHeight="1" x14ac:dyDescent="0.25">
      <c r="B115" s="216"/>
      <c r="C115" s="341"/>
      <c r="D115" s="19" t="s">
        <v>119</v>
      </c>
      <c r="E115" s="19" t="s">
        <v>120</v>
      </c>
      <c r="F115" s="43" t="s">
        <v>302</v>
      </c>
      <c r="G115" s="213" t="s">
        <v>1</v>
      </c>
      <c r="H115" s="41">
        <f>IF(F115="","",VLOOKUP(F115,'[2]Referencias Productivos'!E86:F88,2,FALSE))</f>
        <v>0</v>
      </c>
      <c r="I115" s="247"/>
      <c r="K115" s="19"/>
      <c r="L115" s="277"/>
      <c r="N115" s="19"/>
      <c r="O115" s="277"/>
    </row>
    <row r="116" spans="2:15" ht="5.25" customHeight="1" x14ac:dyDescent="0.25">
      <c r="B116" s="221"/>
      <c r="C116" s="215"/>
      <c r="D116" s="30"/>
      <c r="E116" s="30"/>
      <c r="F116" s="30"/>
      <c r="G116" s="30"/>
      <c r="H116" s="86"/>
      <c r="I116" s="87"/>
      <c r="J116" s="87"/>
      <c r="K116" s="80"/>
      <c r="L116" s="80"/>
      <c r="M116" s="80"/>
      <c r="N116" s="80"/>
      <c r="O116" s="9"/>
    </row>
    <row r="117" spans="2:15" s="27" customFormat="1" ht="25.5" customHeight="1" thickBot="1" x14ac:dyDescent="0.3">
      <c r="B117" s="227"/>
      <c r="C117" s="305" t="s">
        <v>122</v>
      </c>
      <c r="D117" s="228"/>
      <c r="E117" s="228"/>
      <c r="F117" s="88" t="s">
        <v>46</v>
      </c>
      <c r="G117" s="89">
        <f>IF(SUM(H113+H115)&lt;=5,SUM(H113+H115),5)</f>
        <v>0</v>
      </c>
      <c r="H117" s="243"/>
      <c r="I117" s="90">
        <f>H113+H115</f>
        <v>0</v>
      </c>
      <c r="J117" s="60"/>
      <c r="K117" s="28">
        <f>K109+K111+K115</f>
        <v>0</v>
      </c>
      <c r="L117" s="280"/>
      <c r="M117" s="29"/>
      <c r="N117" s="30">
        <f>N109+N111+N115</f>
        <v>0</v>
      </c>
      <c r="O117" s="280"/>
    </row>
    <row r="118" spans="2:15" ht="5.25" customHeight="1" thickBot="1" x14ac:dyDescent="0.3">
      <c r="B118" s="68"/>
      <c r="C118" s="91"/>
      <c r="D118" s="44"/>
      <c r="E118" s="44"/>
      <c r="F118" s="92"/>
      <c r="G118" s="92"/>
      <c r="H118" s="92"/>
      <c r="I118" s="93"/>
      <c r="K118" s="19"/>
      <c r="L118" s="277"/>
      <c r="N118" s="19"/>
      <c r="O118" s="277"/>
    </row>
    <row r="119" spans="2:15" ht="24" customHeight="1" thickBot="1" x14ac:dyDescent="0.3">
      <c r="B119" s="94"/>
      <c r="C119" s="94"/>
      <c r="D119" s="94"/>
      <c r="E119" s="94"/>
      <c r="F119" s="94"/>
      <c r="G119" s="94"/>
      <c r="H119" s="94"/>
      <c r="I119" s="94"/>
      <c r="J119" s="25"/>
      <c r="K119" s="83" t="e">
        <f>IF(SUM(#REF!+#REF!)&lt;=20,SUM(#REF!+#REF!),20)</f>
        <v>#REF!</v>
      </c>
      <c r="L119" s="277"/>
      <c r="M119" s="3"/>
      <c r="N119" s="19" t="e">
        <f>IF(SUM(#REF!+#REF!)&lt;=20,SUM(#REF!+#REF!),20)</f>
        <v>#REF!</v>
      </c>
      <c r="O119" s="277"/>
    </row>
    <row r="120" spans="2:15" s="48" customFormat="1" ht="34.5" customHeight="1" thickBot="1" x14ac:dyDescent="0.3">
      <c r="B120" s="306" t="s">
        <v>123</v>
      </c>
      <c r="C120" s="205"/>
      <c r="D120" s="205"/>
      <c r="E120" s="205"/>
      <c r="F120" s="205"/>
      <c r="G120" s="205"/>
      <c r="H120" s="206"/>
      <c r="I120" s="95">
        <f>(IF(SUM(I93+I105+I111+I117)&lt;=35,SUM(I93+I105+I111+I117),35))</f>
        <v>0</v>
      </c>
      <c r="J120" s="46"/>
      <c r="K120" s="47" t="e">
        <f>K97+K107+#REF!</f>
        <v>#REF!</v>
      </c>
      <c r="L120" s="49"/>
      <c r="N120" s="49" t="e">
        <f>N97+N107+#REF!</f>
        <v>#REF!</v>
      </c>
      <c r="O120" s="49"/>
    </row>
    <row r="121" spans="2:15" ht="24" customHeight="1" thickBot="1" x14ac:dyDescent="0.3">
      <c r="B121" s="71"/>
      <c r="C121" s="71"/>
      <c r="D121" s="71"/>
      <c r="E121" s="71"/>
      <c r="F121" s="71"/>
      <c r="G121" s="71"/>
      <c r="H121" s="71"/>
      <c r="I121" s="71"/>
      <c r="J121" s="25"/>
      <c r="K121" s="83"/>
      <c r="L121" s="277"/>
      <c r="M121" s="3"/>
      <c r="N121" s="19"/>
      <c r="O121" s="277"/>
    </row>
    <row r="122" spans="2:15" s="18" customFormat="1" ht="34.5" customHeight="1" thickBot="1" x14ac:dyDescent="0.3">
      <c r="B122" s="307" t="s">
        <v>124</v>
      </c>
      <c r="C122" s="217"/>
      <c r="D122" s="217"/>
      <c r="E122" s="217"/>
      <c r="F122" s="217"/>
      <c r="G122" s="217"/>
      <c r="H122" s="217"/>
      <c r="I122" s="218"/>
    </row>
    <row r="123" spans="2:15" ht="5.25" customHeight="1" x14ac:dyDescent="0.25">
      <c r="B123" s="96"/>
      <c r="C123" s="29"/>
      <c r="D123" s="97"/>
      <c r="E123" s="97"/>
      <c r="F123" s="97"/>
      <c r="G123" s="97"/>
      <c r="H123" s="97"/>
      <c r="I123" s="98"/>
      <c r="L123" s="9"/>
      <c r="O123" s="9"/>
    </row>
    <row r="124" spans="2:15" ht="23.25" customHeight="1" x14ac:dyDescent="0.25">
      <c r="B124" s="336">
        <v>11</v>
      </c>
      <c r="C124" s="339" t="s">
        <v>125</v>
      </c>
      <c r="D124" s="252" t="s">
        <v>126</v>
      </c>
      <c r="E124" s="308" t="s">
        <v>368</v>
      </c>
      <c r="F124" s="309" t="s">
        <v>132</v>
      </c>
      <c r="G124" s="213" t="s">
        <v>6</v>
      </c>
      <c r="H124" s="99">
        <f>IF(F124="","",VLOOKUP(F124,'[2]Referencias Productivos'!E98:F99,2,FALSE))</f>
        <v>0</v>
      </c>
      <c r="I124" s="230"/>
      <c r="K124" s="19"/>
      <c r="L124" s="277"/>
      <c r="N124" s="19"/>
      <c r="O124" s="277"/>
    </row>
    <row r="125" spans="2:15" ht="5.25" customHeight="1" x14ac:dyDescent="0.25">
      <c r="B125" s="337"/>
      <c r="C125" s="340"/>
      <c r="D125" s="223"/>
      <c r="E125" s="100"/>
      <c r="F125" s="64"/>
      <c r="G125" s="56"/>
      <c r="H125" s="101"/>
      <c r="I125" s="230"/>
      <c r="L125" s="9"/>
      <c r="O125" s="9"/>
    </row>
    <row r="126" spans="2:15" ht="325.5" customHeight="1" x14ac:dyDescent="0.25">
      <c r="B126" s="337"/>
      <c r="C126" s="340"/>
      <c r="D126" s="345" t="s">
        <v>127</v>
      </c>
      <c r="E126" s="354" t="s">
        <v>369</v>
      </c>
      <c r="F126" s="348" t="s">
        <v>132</v>
      </c>
      <c r="G126" s="349" t="s">
        <v>12</v>
      </c>
      <c r="H126" s="353">
        <f>IF(F126="","",VLOOKUP(F126,'[2]Referencias Productivos'!E100:F101,2,FALSE))</f>
        <v>0</v>
      </c>
      <c r="I126" s="230"/>
      <c r="L126" s="9"/>
      <c r="O126" s="9"/>
    </row>
    <row r="127" spans="2:15" ht="5.25" customHeight="1" x14ac:dyDescent="0.25">
      <c r="B127" s="337"/>
      <c r="C127" s="340"/>
      <c r="D127" s="346"/>
      <c r="E127" s="355"/>
      <c r="F127" s="348"/>
      <c r="G127" s="349"/>
      <c r="H127" s="353"/>
      <c r="I127" s="230"/>
      <c r="L127" s="9"/>
      <c r="O127" s="9"/>
    </row>
    <row r="128" spans="2:15" x14ac:dyDescent="0.25">
      <c r="B128" s="337"/>
      <c r="C128" s="340"/>
      <c r="D128" s="346"/>
      <c r="E128" s="356"/>
      <c r="F128" s="348"/>
      <c r="G128" s="349"/>
      <c r="H128" s="353"/>
      <c r="I128" s="230"/>
      <c r="L128" s="9"/>
      <c r="O128" s="9"/>
    </row>
    <row r="129" spans="2:15" ht="5.25" customHeight="1" x14ac:dyDescent="0.25">
      <c r="B129" s="337"/>
      <c r="C129" s="340"/>
      <c r="D129" s="346"/>
      <c r="E129" s="100"/>
      <c r="F129" s="64"/>
      <c r="G129" s="56"/>
      <c r="H129" s="101"/>
      <c r="I129" s="230"/>
      <c r="L129" s="9"/>
      <c r="O129" s="9"/>
    </row>
    <row r="130" spans="2:15" ht="139.5" x14ac:dyDescent="0.25">
      <c r="B130" s="338"/>
      <c r="C130" s="341"/>
      <c r="D130" s="347"/>
      <c r="E130" s="229" t="s">
        <v>370</v>
      </c>
      <c r="F130" s="40" t="s">
        <v>132</v>
      </c>
      <c r="G130" s="213" t="s">
        <v>12</v>
      </c>
      <c r="H130" s="99">
        <f>IF(F130="","",VLOOKUP(F130,'[2]Referencias Productivos'!E102:F103,2,FALSE))</f>
        <v>0</v>
      </c>
      <c r="I130" s="230"/>
      <c r="L130" s="9"/>
      <c r="O130" s="9"/>
    </row>
    <row r="131" spans="2:15" ht="5.25" customHeight="1" x14ac:dyDescent="0.25">
      <c r="B131" s="220"/>
      <c r="C131" s="3"/>
      <c r="D131" s="3"/>
      <c r="E131" s="3"/>
      <c r="F131" s="3"/>
      <c r="G131" s="3"/>
      <c r="H131" s="3"/>
      <c r="I131" s="22"/>
      <c r="L131" s="9"/>
      <c r="O131" s="9"/>
    </row>
    <row r="132" spans="2:15" s="27" customFormat="1" ht="25.5" customHeight="1" x14ac:dyDescent="0.25">
      <c r="B132" s="221"/>
      <c r="C132" s="299" t="s">
        <v>128</v>
      </c>
      <c r="D132" s="209"/>
      <c r="E132" s="210"/>
      <c r="F132" s="82" t="s">
        <v>46</v>
      </c>
      <c r="G132" s="102">
        <f>(IF(SUM(H126+H128+H130)&lt;=5,SUM(H126+H128+H130),5))+H124</f>
        <v>0</v>
      </c>
      <c r="H132" s="25"/>
      <c r="I132" s="103">
        <f>(IF(SUM(H126+H128+H130)&lt;=5,SUM(H126+H128+H130),5))+H124</f>
        <v>0</v>
      </c>
      <c r="J132" s="25"/>
      <c r="K132" s="28">
        <f>K130</f>
        <v>0</v>
      </c>
      <c r="L132" s="280"/>
      <c r="M132" s="29"/>
      <c r="N132" s="30">
        <f>N130</f>
        <v>0</v>
      </c>
      <c r="O132" s="280"/>
    </row>
    <row r="133" spans="2:15" ht="5.25" customHeight="1" x14ac:dyDescent="0.25">
      <c r="B133" s="310"/>
      <c r="C133" s="29"/>
      <c r="D133" s="110"/>
      <c r="E133" s="78"/>
      <c r="F133" s="78"/>
      <c r="G133" s="78"/>
      <c r="H133" s="78"/>
      <c r="I133" s="104"/>
      <c r="L133" s="9"/>
      <c r="O133" s="9"/>
    </row>
    <row r="134" spans="2:15" ht="46.5" customHeight="1" x14ac:dyDescent="0.25">
      <c r="B134" s="336">
        <v>12</v>
      </c>
      <c r="C134" s="339" t="s">
        <v>129</v>
      </c>
      <c r="D134" s="345" t="s">
        <v>130</v>
      </c>
      <c r="E134" s="311" t="s">
        <v>371</v>
      </c>
      <c r="F134" s="40" t="s">
        <v>132</v>
      </c>
      <c r="G134" s="213" t="s">
        <v>1</v>
      </c>
      <c r="H134" s="99">
        <f>IF(F134="","",VLOOKUP(F134,'[2]Referencias Productivos'!E106:F107,2,FALSE))</f>
        <v>0</v>
      </c>
      <c r="I134" s="230"/>
      <c r="K134" s="19"/>
      <c r="L134" s="277"/>
      <c r="N134" s="19"/>
      <c r="O134" s="277"/>
    </row>
    <row r="135" spans="2:15" ht="5.25" customHeight="1" x14ac:dyDescent="0.35">
      <c r="B135" s="337"/>
      <c r="C135" s="340"/>
      <c r="D135" s="346"/>
      <c r="E135" s="78"/>
      <c r="F135" s="78"/>
      <c r="G135" s="78"/>
      <c r="H135" s="78"/>
      <c r="I135" s="98"/>
      <c r="K135" s="105"/>
      <c r="L135" s="9"/>
      <c r="N135" s="105"/>
      <c r="O135" s="9"/>
    </row>
    <row r="136" spans="2:15" ht="46.5" x14ac:dyDescent="0.35">
      <c r="B136" s="337"/>
      <c r="C136" s="340"/>
      <c r="D136" s="346"/>
      <c r="E136" s="311" t="s">
        <v>372</v>
      </c>
      <c r="F136" s="40" t="s">
        <v>132</v>
      </c>
      <c r="G136" s="213" t="s">
        <v>1</v>
      </c>
      <c r="H136" s="99">
        <f>IF(F136="","",VLOOKUP(F136,'[2]Referencias Productivos'!E108:F109,2,FALSE))</f>
        <v>0</v>
      </c>
      <c r="I136" s="98"/>
      <c r="K136" s="105"/>
      <c r="L136" s="9"/>
      <c r="N136" s="105"/>
      <c r="O136" s="9"/>
    </row>
    <row r="137" spans="2:15" ht="5.25" customHeight="1" x14ac:dyDescent="0.35">
      <c r="B137" s="337"/>
      <c r="C137" s="340"/>
      <c r="D137" s="346"/>
      <c r="E137" s="78"/>
      <c r="F137" s="78"/>
      <c r="G137" s="78"/>
      <c r="H137" s="78"/>
      <c r="I137" s="98"/>
      <c r="K137" s="105"/>
      <c r="L137" s="9"/>
      <c r="N137" s="105"/>
      <c r="O137" s="9"/>
    </row>
    <row r="138" spans="2:15" ht="46.5" x14ac:dyDescent="0.25">
      <c r="B138" s="337"/>
      <c r="C138" s="340"/>
      <c r="D138" s="346"/>
      <c r="E138" s="311" t="s">
        <v>373</v>
      </c>
      <c r="F138" s="40" t="s">
        <v>132</v>
      </c>
      <c r="G138" s="213" t="s">
        <v>6</v>
      </c>
      <c r="H138" s="99">
        <f>IF(F138="","",VLOOKUP(F138,'[2]Referencias Productivos'!E110:F111,2,FALSE))</f>
        <v>0</v>
      </c>
      <c r="I138" s="230"/>
      <c r="K138" s="19"/>
      <c r="L138" s="277"/>
      <c r="N138" s="19"/>
      <c r="O138" s="277"/>
    </row>
    <row r="139" spans="2:15" ht="5.25" customHeight="1" x14ac:dyDescent="0.35">
      <c r="B139" s="337"/>
      <c r="C139" s="340"/>
      <c r="D139" s="346"/>
      <c r="E139" s="78"/>
      <c r="F139" s="78"/>
      <c r="G139" s="78"/>
      <c r="H139" s="78"/>
      <c r="I139" s="98"/>
      <c r="K139" s="105"/>
      <c r="L139" s="9"/>
      <c r="N139" s="105"/>
      <c r="O139" s="9"/>
    </row>
    <row r="140" spans="2:15" ht="46.5" x14ac:dyDescent="0.25">
      <c r="B140" s="337"/>
      <c r="C140" s="340"/>
      <c r="D140" s="347"/>
      <c r="E140" s="311" t="s">
        <v>374</v>
      </c>
      <c r="F140" s="40" t="s">
        <v>132</v>
      </c>
      <c r="G140" s="213" t="s">
        <v>6</v>
      </c>
      <c r="H140" s="99">
        <f>IF(F140="","",VLOOKUP(F140,'[2]Referencias Productivos'!E112:F113,2,FALSE))</f>
        <v>0</v>
      </c>
      <c r="I140" s="230"/>
      <c r="K140" s="19"/>
      <c r="L140" s="277"/>
      <c r="N140" s="19"/>
      <c r="O140" s="277"/>
    </row>
    <row r="141" spans="2:15" ht="5.25" customHeight="1" x14ac:dyDescent="0.25">
      <c r="B141" s="337"/>
      <c r="C141" s="340"/>
      <c r="D141" s="253"/>
      <c r="E141" s="3"/>
      <c r="F141" s="3"/>
      <c r="G141" s="3"/>
      <c r="H141" s="3"/>
      <c r="I141" s="22"/>
      <c r="L141" s="9"/>
      <c r="O141" s="9"/>
    </row>
    <row r="142" spans="2:15" s="27" customFormat="1" ht="25.5" customHeight="1" x14ac:dyDescent="0.25">
      <c r="B142" s="337"/>
      <c r="C142" s="340"/>
      <c r="D142" s="42"/>
      <c r="E142" s="42" t="s">
        <v>10</v>
      </c>
      <c r="F142" s="106" t="s">
        <v>40</v>
      </c>
      <c r="G142" s="106">
        <f>(IF(SUM(H134+H136+H138+H140)&lt;=6,SUM(H134+H136+H138+H140),6))</f>
        <v>0</v>
      </c>
      <c r="H142" s="29"/>
      <c r="I142" s="103">
        <f>(IF(SUM(H134+H136+H138+H140)&lt;=6,SUM(H134+H136+H138+H140),6))</f>
        <v>0</v>
      </c>
      <c r="J142" s="25"/>
      <c r="K142" s="28">
        <f>K140</f>
        <v>0</v>
      </c>
      <c r="L142" s="280"/>
      <c r="M142" s="29"/>
      <c r="N142" s="30">
        <f>N140</f>
        <v>0</v>
      </c>
      <c r="O142" s="280"/>
    </row>
    <row r="143" spans="2:15" ht="5.25" customHeight="1" x14ac:dyDescent="0.35">
      <c r="B143" s="337"/>
      <c r="C143" s="340"/>
      <c r="D143" s="29"/>
      <c r="E143" s="78"/>
      <c r="F143" s="78"/>
      <c r="G143" s="78"/>
      <c r="H143" s="78"/>
      <c r="I143" s="104"/>
      <c r="K143" s="105"/>
      <c r="L143" s="9"/>
      <c r="N143" s="105"/>
      <c r="O143" s="9"/>
    </row>
    <row r="144" spans="2:15" ht="46.5" x14ac:dyDescent="0.25">
      <c r="B144" s="337"/>
      <c r="C144" s="340"/>
      <c r="D144" s="312" t="s">
        <v>136</v>
      </c>
      <c r="E144" s="313" t="s">
        <v>375</v>
      </c>
      <c r="F144" s="40" t="s">
        <v>132</v>
      </c>
      <c r="G144" s="213" t="s">
        <v>1</v>
      </c>
      <c r="H144" s="99">
        <f>IF(F144="","",VLOOKUP(F144,'[2]Referencias Productivos'!E114:F115,2,FALSE))</f>
        <v>0</v>
      </c>
      <c r="I144" s="230"/>
      <c r="K144" s="19"/>
      <c r="L144" s="277"/>
      <c r="N144" s="19"/>
      <c r="O144" s="277"/>
    </row>
    <row r="145" spans="2:15" ht="5.25" customHeight="1" x14ac:dyDescent="0.25">
      <c r="B145" s="337"/>
      <c r="C145" s="340"/>
      <c r="D145" s="213"/>
      <c r="E145" s="3"/>
      <c r="F145" s="3"/>
      <c r="G145" s="3"/>
      <c r="H145" s="3"/>
      <c r="I145" s="22"/>
      <c r="L145" s="9"/>
      <c r="O145" s="9"/>
    </row>
    <row r="146" spans="2:15" s="27" customFormat="1" ht="25.5" customHeight="1" x14ac:dyDescent="0.25">
      <c r="B146" s="338"/>
      <c r="C146" s="341"/>
      <c r="D146" s="42"/>
      <c r="E146" s="42" t="s">
        <v>138</v>
      </c>
      <c r="F146" s="106" t="s">
        <v>40</v>
      </c>
      <c r="G146" s="106">
        <f>H144</f>
        <v>0</v>
      </c>
      <c r="H146" s="29"/>
      <c r="I146" s="103">
        <f>H144</f>
        <v>0</v>
      </c>
      <c r="J146" s="25"/>
      <c r="K146" s="28">
        <f>K144</f>
        <v>0</v>
      </c>
      <c r="L146" s="280"/>
      <c r="M146" s="29"/>
      <c r="N146" s="30">
        <f>N144</f>
        <v>0</v>
      </c>
      <c r="O146" s="280"/>
    </row>
    <row r="147" spans="2:15" ht="5.25" customHeight="1" x14ac:dyDescent="0.25">
      <c r="B147" s="221"/>
      <c r="C147" s="3"/>
      <c r="D147" s="3"/>
      <c r="E147" s="3"/>
      <c r="F147" s="3"/>
      <c r="G147" s="3"/>
      <c r="H147" s="3"/>
      <c r="I147" s="22"/>
      <c r="L147" s="9"/>
      <c r="O147" s="9"/>
    </row>
    <row r="148" spans="2:15" s="27" customFormat="1" ht="25.5" customHeight="1" x14ac:dyDescent="0.25">
      <c r="B148" s="211"/>
      <c r="C148" s="299" t="s">
        <v>139</v>
      </c>
      <c r="D148" s="209"/>
      <c r="E148" s="210"/>
      <c r="F148" s="82" t="s">
        <v>46</v>
      </c>
      <c r="G148" s="102">
        <f>G142+G146</f>
        <v>0</v>
      </c>
      <c r="H148" s="25"/>
      <c r="I148" s="103">
        <f>(IF(SUM(I142+I146)&lt;=8,SUM(I142+I146),8))</f>
        <v>0</v>
      </c>
      <c r="J148" s="25"/>
      <c r="K148" s="28">
        <f>K146</f>
        <v>0</v>
      </c>
      <c r="L148" s="280"/>
      <c r="M148" s="29"/>
      <c r="N148" s="30">
        <f>N146</f>
        <v>0</v>
      </c>
      <c r="O148" s="280"/>
    </row>
    <row r="149" spans="2:15" ht="5.25" customHeight="1" x14ac:dyDescent="0.35">
      <c r="B149" s="310"/>
      <c r="C149" s="110"/>
      <c r="D149" s="110"/>
      <c r="E149" s="78"/>
      <c r="F149" s="78"/>
      <c r="G149" s="78"/>
      <c r="H149" s="78"/>
      <c r="I149" s="107"/>
      <c r="K149" s="105"/>
      <c r="L149" s="9"/>
      <c r="N149" s="105"/>
      <c r="O149" s="9"/>
    </row>
    <row r="150" spans="2:15" ht="46.5" x14ac:dyDescent="0.25">
      <c r="B150" s="336">
        <v>13</v>
      </c>
      <c r="C150" s="339" t="s">
        <v>140</v>
      </c>
      <c r="D150" s="345" t="s">
        <v>376</v>
      </c>
      <c r="E150" s="64" t="s">
        <v>377</v>
      </c>
      <c r="F150" s="40" t="s">
        <v>132</v>
      </c>
      <c r="G150" s="214" t="s">
        <v>5</v>
      </c>
      <c r="H150" s="99">
        <f>IF(F150="","",VLOOKUP(F150,'[2]Referencias Productivos'!E116:F117,2,FALSE))</f>
        <v>0</v>
      </c>
      <c r="I150" s="230"/>
      <c r="K150" s="19"/>
      <c r="L150" s="277"/>
      <c r="N150" s="19"/>
      <c r="O150" s="277"/>
    </row>
    <row r="151" spans="2:15" ht="5.25" customHeight="1" x14ac:dyDescent="0.25">
      <c r="B151" s="337"/>
      <c r="C151" s="340"/>
      <c r="D151" s="346"/>
      <c r="E151" s="108"/>
      <c r="F151" s="64"/>
      <c r="G151" s="223"/>
      <c r="H151" s="56"/>
      <c r="I151" s="230"/>
      <c r="L151" s="9"/>
      <c r="O151" s="9"/>
    </row>
    <row r="152" spans="2:15" ht="46.5" x14ac:dyDescent="0.25">
      <c r="B152" s="337"/>
      <c r="C152" s="340"/>
      <c r="D152" s="346"/>
      <c r="E152" s="64" t="s">
        <v>378</v>
      </c>
      <c r="F152" s="40" t="s">
        <v>132</v>
      </c>
      <c r="G152" s="214" t="s">
        <v>5</v>
      </c>
      <c r="H152" s="99">
        <f>IF(F152="","",VLOOKUP(F152,'[2]Referencias Productivos'!E118:F119,2,FALSE))</f>
        <v>0</v>
      </c>
      <c r="I152" s="230"/>
      <c r="L152" s="9"/>
      <c r="O152" s="9"/>
    </row>
    <row r="153" spans="2:15" ht="5.25" customHeight="1" x14ac:dyDescent="0.25">
      <c r="B153" s="337"/>
      <c r="C153" s="340"/>
      <c r="D153" s="346"/>
      <c r="E153" s="108"/>
      <c r="F153" s="40"/>
      <c r="G153" s="223"/>
      <c r="H153" s="56"/>
      <c r="I153" s="230"/>
      <c r="L153" s="9"/>
      <c r="O153" s="9"/>
    </row>
    <row r="154" spans="2:15" ht="46.5" x14ac:dyDescent="0.25">
      <c r="B154" s="337"/>
      <c r="C154" s="340"/>
      <c r="D154" s="346"/>
      <c r="E154" s="64" t="s">
        <v>379</v>
      </c>
      <c r="F154" s="40" t="s">
        <v>132</v>
      </c>
      <c r="G154" s="214" t="s">
        <v>5</v>
      </c>
      <c r="H154" s="99">
        <f>IF(F154="","",VLOOKUP(F154,'[2]Referencias Productivos'!E120:F121,2,FALSE))</f>
        <v>0</v>
      </c>
      <c r="I154" s="230"/>
      <c r="L154" s="9"/>
      <c r="O154" s="9"/>
    </row>
    <row r="155" spans="2:15" ht="5.25" customHeight="1" x14ac:dyDescent="0.25">
      <c r="B155" s="337"/>
      <c r="C155" s="340"/>
      <c r="D155" s="346"/>
      <c r="E155" s="108"/>
      <c r="F155" s="40"/>
      <c r="G155" s="223"/>
      <c r="H155" s="56"/>
      <c r="I155" s="230"/>
      <c r="L155" s="9"/>
      <c r="O155" s="9"/>
    </row>
    <row r="156" spans="2:15" ht="46.5" x14ac:dyDescent="0.25">
      <c r="B156" s="337"/>
      <c r="C156" s="340"/>
      <c r="D156" s="346"/>
      <c r="E156" s="64" t="s">
        <v>380</v>
      </c>
      <c r="F156" s="40" t="s">
        <v>132</v>
      </c>
      <c r="G156" s="214" t="s">
        <v>5</v>
      </c>
      <c r="H156" s="99">
        <f>IF(F156="","",VLOOKUP(F156,'[2]Referencias Productivos'!E122:F123,2,FALSE))</f>
        <v>0</v>
      </c>
      <c r="I156" s="230"/>
      <c r="L156" s="9"/>
      <c r="O156" s="9"/>
    </row>
    <row r="157" spans="2:15" ht="5.25" customHeight="1" x14ac:dyDescent="0.35">
      <c r="B157" s="337"/>
      <c r="C157" s="340"/>
      <c r="D157" s="346"/>
      <c r="E157" s="109"/>
      <c r="F157" s="78"/>
      <c r="G157" s="78"/>
      <c r="H157" s="78"/>
      <c r="I157" s="98"/>
      <c r="K157" s="105"/>
      <c r="L157" s="9"/>
      <c r="N157" s="105"/>
      <c r="O157" s="9"/>
    </row>
    <row r="158" spans="2:15" ht="46.5" x14ac:dyDescent="0.25">
      <c r="B158" s="337"/>
      <c r="C158" s="340"/>
      <c r="D158" s="347"/>
      <c r="E158" s="234" t="s">
        <v>146</v>
      </c>
      <c r="F158" s="309" t="s">
        <v>132</v>
      </c>
      <c r="G158" s="213" t="s">
        <v>6</v>
      </c>
      <c r="H158" s="99">
        <f>IF(F158="","",VLOOKUP(F158,'[2]Referencias Productivos'!E124:F125,2,FALSE))</f>
        <v>0</v>
      </c>
      <c r="I158" s="230"/>
      <c r="K158" s="19"/>
      <c r="L158" s="277"/>
      <c r="N158" s="19"/>
      <c r="O158" s="277"/>
    </row>
    <row r="159" spans="2:15" ht="5.25" customHeight="1" x14ac:dyDescent="0.35">
      <c r="B159" s="337"/>
      <c r="C159" s="340"/>
      <c r="D159" s="213"/>
      <c r="E159" s="78"/>
      <c r="F159" s="78"/>
      <c r="G159" s="78"/>
      <c r="H159" s="110"/>
      <c r="I159" s="111"/>
      <c r="K159" s="105"/>
      <c r="L159" s="9"/>
      <c r="N159" s="105"/>
      <c r="O159" s="9"/>
    </row>
    <row r="160" spans="2:15" s="27" customFormat="1" ht="25.5" customHeight="1" x14ac:dyDescent="0.25">
      <c r="B160" s="337"/>
      <c r="C160" s="340"/>
      <c r="D160" s="42"/>
      <c r="E160" s="42" t="s">
        <v>147</v>
      </c>
      <c r="F160" s="112" t="s">
        <v>40</v>
      </c>
      <c r="G160" s="106">
        <f>(IF(SUM(H150+H152+H154+H156+H158)&lt;=3,SUM(H150+H152+H154+H156+H158),3))</f>
        <v>0</v>
      </c>
      <c r="H160" s="29"/>
      <c r="I160" s="103">
        <f>(IF(SUM(H150+H152+H154+H156+H158)&lt;=3,SUM(H150+H152+H154+H156+H158),3))</f>
        <v>0</v>
      </c>
      <c r="J160" s="25"/>
      <c r="K160" s="28">
        <f>K158</f>
        <v>0</v>
      </c>
      <c r="L160" s="280"/>
      <c r="M160" s="29"/>
      <c r="N160" s="30">
        <f>N158</f>
        <v>0</v>
      </c>
      <c r="O160" s="280"/>
    </row>
    <row r="161" spans="2:15" ht="5.25" customHeight="1" x14ac:dyDescent="0.35">
      <c r="B161" s="337"/>
      <c r="C161" s="340"/>
      <c r="D161" s="29"/>
      <c r="E161" s="78"/>
      <c r="F161" s="78"/>
      <c r="G161" s="78"/>
      <c r="H161" s="97"/>
      <c r="I161" s="107"/>
      <c r="K161" s="105"/>
      <c r="L161" s="9"/>
      <c r="N161" s="105"/>
      <c r="O161" s="9"/>
    </row>
    <row r="162" spans="2:15" ht="23.25" customHeight="1" x14ac:dyDescent="0.25">
      <c r="B162" s="337"/>
      <c r="C162" s="340"/>
      <c r="D162" s="345" t="s">
        <v>381</v>
      </c>
      <c r="E162" s="59" t="s">
        <v>148</v>
      </c>
      <c r="F162" s="40" t="s">
        <v>132</v>
      </c>
      <c r="G162" s="214" t="s">
        <v>5</v>
      </c>
      <c r="H162" s="99">
        <f>IF(F162="","",VLOOKUP(F162,'[2]Referencias Productivos'!E126:F127,2,FALSE))</f>
        <v>0</v>
      </c>
      <c r="I162" s="113"/>
      <c r="K162" s="19"/>
      <c r="L162" s="277"/>
      <c r="N162" s="19"/>
      <c r="O162" s="277"/>
    </row>
    <row r="163" spans="2:15" ht="5.25" customHeight="1" x14ac:dyDescent="0.25">
      <c r="B163" s="337"/>
      <c r="C163" s="340"/>
      <c r="D163" s="346"/>
      <c r="E163" s="64"/>
      <c r="F163" s="64"/>
      <c r="G163" s="223"/>
      <c r="H163" s="56"/>
      <c r="I163" s="230"/>
      <c r="L163" s="9"/>
      <c r="O163" s="9"/>
    </row>
    <row r="164" spans="2:15" x14ac:dyDescent="0.25">
      <c r="B164" s="337"/>
      <c r="C164" s="340"/>
      <c r="D164" s="346"/>
      <c r="E164" s="59" t="s">
        <v>149</v>
      </c>
      <c r="F164" s="40" t="s">
        <v>132</v>
      </c>
      <c r="G164" s="214" t="s">
        <v>5</v>
      </c>
      <c r="H164" s="99">
        <f>IF(F164="","",VLOOKUP(F164,'[2]Referencias Productivos'!E128:F129,2,FALSE))</f>
        <v>0</v>
      </c>
      <c r="I164" s="113"/>
      <c r="L164" s="9"/>
      <c r="O164" s="9"/>
    </row>
    <row r="165" spans="2:15" ht="5.25" customHeight="1" x14ac:dyDescent="0.25">
      <c r="B165" s="337"/>
      <c r="C165" s="340"/>
      <c r="D165" s="346"/>
      <c r="E165" s="64"/>
      <c r="F165" s="64"/>
      <c r="G165" s="223"/>
      <c r="H165" s="56"/>
      <c r="I165" s="230"/>
      <c r="L165" s="9"/>
      <c r="O165" s="9"/>
    </row>
    <row r="166" spans="2:15" x14ac:dyDescent="0.25">
      <c r="B166" s="337"/>
      <c r="C166" s="340"/>
      <c r="D166" s="346"/>
      <c r="E166" s="59" t="s">
        <v>150</v>
      </c>
      <c r="F166" s="40" t="s">
        <v>132</v>
      </c>
      <c r="G166" s="214" t="s">
        <v>5</v>
      </c>
      <c r="H166" s="99">
        <f>IF(F166="","",VLOOKUP(F166,'[2]Referencias Productivos'!E130:F131,2,FALSE))</f>
        <v>0</v>
      </c>
      <c r="I166" s="113"/>
      <c r="L166" s="9"/>
      <c r="O166" s="9"/>
    </row>
    <row r="167" spans="2:15" ht="5.25" customHeight="1" x14ac:dyDescent="0.25">
      <c r="B167" s="337"/>
      <c r="C167" s="340"/>
      <c r="D167" s="346"/>
      <c r="E167" s="64"/>
      <c r="F167" s="64"/>
      <c r="G167" s="223"/>
      <c r="H167" s="56"/>
      <c r="I167" s="230"/>
      <c r="L167" s="9"/>
      <c r="O167" s="9"/>
    </row>
    <row r="168" spans="2:15" x14ac:dyDescent="0.25">
      <c r="B168" s="337"/>
      <c r="C168" s="340"/>
      <c r="D168" s="346"/>
      <c r="E168" s="59" t="s">
        <v>151</v>
      </c>
      <c r="F168" s="40" t="s">
        <v>132</v>
      </c>
      <c r="G168" s="214" t="s">
        <v>5</v>
      </c>
      <c r="H168" s="99">
        <f>IF(F168="","",VLOOKUP(F168,'[2]Referencias Productivos'!E132:F133,2,FALSE))</f>
        <v>0</v>
      </c>
      <c r="I168" s="113"/>
      <c r="L168" s="9"/>
      <c r="O168" s="9"/>
    </row>
    <row r="169" spans="2:15" ht="5.25" customHeight="1" x14ac:dyDescent="0.25">
      <c r="B169" s="337"/>
      <c r="C169" s="340"/>
      <c r="D169" s="346"/>
      <c r="E169" s="64"/>
      <c r="F169" s="64"/>
      <c r="G169" s="223"/>
      <c r="H169" s="56"/>
      <c r="I169" s="230"/>
      <c r="L169" s="9"/>
      <c r="O169" s="9"/>
    </row>
    <row r="170" spans="2:15" x14ac:dyDescent="0.25">
      <c r="B170" s="337"/>
      <c r="C170" s="340"/>
      <c r="D170" s="346"/>
      <c r="E170" s="59" t="s">
        <v>152</v>
      </c>
      <c r="F170" s="40" t="s">
        <v>132</v>
      </c>
      <c r="G170" s="214" t="s">
        <v>5</v>
      </c>
      <c r="H170" s="99">
        <f>IF(F170="","",VLOOKUP(F170,'[2]Referencias Productivos'!E134:F135,2,FALSE))</f>
        <v>0</v>
      </c>
      <c r="I170" s="113"/>
      <c r="L170" s="9"/>
      <c r="O170" s="9"/>
    </row>
    <row r="171" spans="2:15" ht="5.25" customHeight="1" x14ac:dyDescent="0.25">
      <c r="B171" s="337"/>
      <c r="C171" s="340"/>
      <c r="D171" s="346"/>
      <c r="E171" s="64"/>
      <c r="F171" s="64"/>
      <c r="G171" s="223"/>
      <c r="H171" s="56"/>
      <c r="I171" s="230"/>
      <c r="L171" s="9"/>
      <c r="O171" s="9"/>
    </row>
    <row r="172" spans="2:15" x14ac:dyDescent="0.25">
      <c r="B172" s="337"/>
      <c r="C172" s="340"/>
      <c r="D172" s="346"/>
      <c r="E172" s="59" t="s">
        <v>153</v>
      </c>
      <c r="F172" s="40" t="s">
        <v>132</v>
      </c>
      <c r="G172" s="214" t="s">
        <v>5</v>
      </c>
      <c r="H172" s="99">
        <f>IF(F172="","",VLOOKUP(F172,'[2]Referencias Productivos'!E136:F137,2,FALSE))</f>
        <v>0</v>
      </c>
      <c r="I172" s="113"/>
      <c r="L172" s="9"/>
      <c r="O172" s="9"/>
    </row>
    <row r="173" spans="2:15" ht="5.25" customHeight="1" x14ac:dyDescent="0.25">
      <c r="B173" s="337"/>
      <c r="C173" s="340"/>
      <c r="D173" s="346"/>
      <c r="E173" s="64"/>
      <c r="F173" s="64"/>
      <c r="G173" s="223"/>
      <c r="H173" s="56"/>
      <c r="I173" s="230"/>
      <c r="L173" s="9"/>
      <c r="O173" s="9"/>
    </row>
    <row r="174" spans="2:15" x14ac:dyDescent="0.25">
      <c r="B174" s="337"/>
      <c r="C174" s="340"/>
      <c r="D174" s="346"/>
      <c r="E174" s="59" t="s">
        <v>154</v>
      </c>
      <c r="F174" s="40" t="s">
        <v>132</v>
      </c>
      <c r="G174" s="214" t="s">
        <v>5</v>
      </c>
      <c r="H174" s="99">
        <f>IF(F174="","",VLOOKUP(F174,'[2]Referencias Productivos'!E138:F139,2,FALSE))</f>
        <v>0</v>
      </c>
      <c r="I174" s="113"/>
      <c r="L174" s="9"/>
      <c r="O174" s="9"/>
    </row>
    <row r="175" spans="2:15" ht="5.25" customHeight="1" x14ac:dyDescent="0.25">
      <c r="B175" s="337"/>
      <c r="C175" s="340"/>
      <c r="D175" s="346"/>
      <c r="E175" s="64"/>
      <c r="F175" s="64"/>
      <c r="G175" s="223"/>
      <c r="H175" s="56"/>
      <c r="I175" s="230"/>
      <c r="L175" s="9"/>
      <c r="O175" s="9"/>
    </row>
    <row r="176" spans="2:15" x14ac:dyDescent="0.25">
      <c r="B176" s="337"/>
      <c r="C176" s="340"/>
      <c r="D176" s="346"/>
      <c r="E176" s="59" t="s">
        <v>155</v>
      </c>
      <c r="F176" s="40" t="s">
        <v>132</v>
      </c>
      <c r="G176" s="214" t="s">
        <v>5</v>
      </c>
      <c r="H176" s="99">
        <f>IF(F176="","",VLOOKUP(F176,'[2]Referencias Productivos'!E140:F141,2,FALSE))</f>
        <v>0</v>
      </c>
      <c r="I176" s="113"/>
      <c r="L176" s="9"/>
      <c r="O176" s="9"/>
    </row>
    <row r="177" spans="2:15" ht="5.25" customHeight="1" x14ac:dyDescent="0.35">
      <c r="B177" s="337"/>
      <c r="C177" s="340"/>
      <c r="D177" s="346"/>
      <c r="E177" s="78"/>
      <c r="F177" s="78"/>
      <c r="G177" s="78"/>
      <c r="H177" s="78"/>
      <c r="I177" s="107"/>
      <c r="K177" s="105"/>
      <c r="L177" s="9"/>
      <c r="N177" s="105"/>
      <c r="O177" s="9"/>
    </row>
    <row r="178" spans="2:15" ht="46.5" x14ac:dyDescent="0.25">
      <c r="B178" s="337"/>
      <c r="C178" s="340"/>
      <c r="D178" s="347"/>
      <c r="E178" s="59" t="s">
        <v>382</v>
      </c>
      <c r="F178" s="40" t="s">
        <v>132</v>
      </c>
      <c r="G178" s="213" t="s">
        <v>6</v>
      </c>
      <c r="H178" s="99">
        <f>IF(F178="","",VLOOKUP(F178,'[2]Referencias Productivos'!E142:F143,2,FALSE))</f>
        <v>0</v>
      </c>
      <c r="I178" s="113"/>
      <c r="K178" s="19"/>
      <c r="L178" s="277"/>
      <c r="N178" s="19"/>
      <c r="O178" s="277"/>
    </row>
    <row r="179" spans="2:15" ht="5.25" customHeight="1" x14ac:dyDescent="0.35">
      <c r="B179" s="337"/>
      <c r="C179" s="340"/>
      <c r="D179" s="255"/>
      <c r="E179" s="78"/>
      <c r="F179" s="78"/>
      <c r="G179" s="78"/>
      <c r="H179" s="110"/>
      <c r="I179" s="107"/>
      <c r="K179" s="105"/>
      <c r="L179" s="9"/>
      <c r="N179" s="105"/>
      <c r="O179" s="9"/>
    </row>
    <row r="180" spans="2:15" s="27" customFormat="1" ht="25.5" customHeight="1" x14ac:dyDescent="0.25">
      <c r="B180" s="337"/>
      <c r="C180" s="340"/>
      <c r="D180" s="42"/>
      <c r="E180" s="42" t="s">
        <v>147</v>
      </c>
      <c r="F180" s="114" t="s">
        <v>40</v>
      </c>
      <c r="G180" s="106">
        <f>(IF(SUM(H162+H164+H166+H168+H170+H172+H174+H176+H178)&lt;=3,SUM(H162+H164+H166+H168+H170+H172+H174+H176+H178),3))</f>
        <v>0</v>
      </c>
      <c r="H180" s="29"/>
      <c r="I180" s="103">
        <f>(IF(SUM(H162+H164+H166+H168+H170+H172+H174+H176+H178)&lt;=3,SUM(H162+H164+H166+H168+H170+H172+H174+H176+H178),3))</f>
        <v>0</v>
      </c>
      <c r="J180" s="25"/>
      <c r="K180" s="28">
        <f>K178</f>
        <v>0</v>
      </c>
      <c r="L180" s="280"/>
      <c r="M180" s="29"/>
      <c r="N180" s="30">
        <f>N178</f>
        <v>0</v>
      </c>
      <c r="O180" s="280"/>
    </row>
    <row r="181" spans="2:15" ht="5.25" customHeight="1" x14ac:dyDescent="0.35">
      <c r="B181" s="337"/>
      <c r="C181" s="340"/>
      <c r="D181" s="78"/>
      <c r="E181" s="78"/>
      <c r="F181" s="78"/>
      <c r="G181" s="78"/>
      <c r="H181" s="97"/>
      <c r="I181" s="107"/>
      <c r="K181" s="105"/>
      <c r="L181" s="9"/>
      <c r="N181" s="105"/>
      <c r="O181" s="9"/>
    </row>
    <row r="182" spans="2:15" ht="46.5" customHeight="1" x14ac:dyDescent="0.25">
      <c r="B182" s="337"/>
      <c r="C182" s="340"/>
      <c r="D182" s="345" t="s">
        <v>157</v>
      </c>
      <c r="E182" s="19" t="s">
        <v>158</v>
      </c>
      <c r="F182" s="40" t="s">
        <v>132</v>
      </c>
      <c r="G182" s="213" t="s">
        <v>1</v>
      </c>
      <c r="H182" s="99">
        <f>IF(F182="","",VLOOKUP(F182,'[2]Referencias Productivos'!E144:F145,2,FALSE))</f>
        <v>0</v>
      </c>
      <c r="I182" s="115"/>
      <c r="K182" s="19"/>
      <c r="L182" s="277"/>
      <c r="N182" s="19"/>
      <c r="O182" s="277"/>
    </row>
    <row r="183" spans="2:15" ht="5.25" customHeight="1" x14ac:dyDescent="0.25">
      <c r="B183" s="337"/>
      <c r="C183" s="340"/>
      <c r="D183" s="346"/>
      <c r="E183" s="21"/>
      <c r="F183" s="32"/>
      <c r="G183" s="223"/>
      <c r="H183" s="223"/>
      <c r="I183" s="230"/>
      <c r="L183" s="9"/>
      <c r="O183" s="9"/>
    </row>
    <row r="184" spans="2:15" ht="46.5" customHeight="1" x14ac:dyDescent="0.25">
      <c r="B184" s="337"/>
      <c r="C184" s="340"/>
      <c r="D184" s="346"/>
      <c r="E184" s="19" t="s">
        <v>159</v>
      </c>
      <c r="F184" s="40" t="s">
        <v>132</v>
      </c>
      <c r="G184" s="213" t="s">
        <v>1</v>
      </c>
      <c r="H184" s="99">
        <f>IF(F184="","",VLOOKUP(F184,'[2]Referencias Productivos'!E146:F147,2,FALSE))</f>
        <v>0</v>
      </c>
      <c r="I184" s="115"/>
      <c r="K184" s="19"/>
      <c r="L184" s="277"/>
      <c r="N184" s="19"/>
      <c r="O184" s="277"/>
    </row>
    <row r="185" spans="2:15" ht="5.25" customHeight="1" x14ac:dyDescent="0.25">
      <c r="B185" s="337"/>
      <c r="C185" s="340"/>
      <c r="D185" s="346"/>
      <c r="E185" s="21"/>
      <c r="F185" s="32"/>
      <c r="G185" s="223"/>
      <c r="H185" s="223"/>
      <c r="I185" s="230"/>
      <c r="L185" s="9"/>
      <c r="O185" s="9"/>
    </row>
    <row r="186" spans="2:15" ht="46.5" customHeight="1" x14ac:dyDescent="0.25">
      <c r="B186" s="337"/>
      <c r="C186" s="340"/>
      <c r="D186" s="346"/>
      <c r="E186" s="19" t="s">
        <v>160</v>
      </c>
      <c r="F186" s="40" t="s">
        <v>132</v>
      </c>
      <c r="G186" s="213" t="s">
        <v>1</v>
      </c>
      <c r="H186" s="99">
        <f>IF(F186="","",VLOOKUP(F186,'[2]Referencias Productivos'!E148:F149,2,FALSE))</f>
        <v>0</v>
      </c>
      <c r="I186" s="115"/>
      <c r="K186" s="19"/>
      <c r="L186" s="277"/>
      <c r="N186" s="19"/>
      <c r="O186" s="277"/>
    </row>
    <row r="187" spans="2:15" ht="5.25" customHeight="1" x14ac:dyDescent="0.25">
      <c r="B187" s="337"/>
      <c r="C187" s="340"/>
      <c r="D187" s="346"/>
      <c r="E187" s="32"/>
      <c r="F187" s="32"/>
      <c r="G187" s="223"/>
      <c r="H187" s="223"/>
      <c r="I187" s="230"/>
      <c r="L187" s="9"/>
      <c r="O187" s="9"/>
    </row>
    <row r="188" spans="2:15" s="27" customFormat="1" ht="25.5" customHeight="1" x14ac:dyDescent="0.25">
      <c r="B188" s="338"/>
      <c r="C188" s="341"/>
      <c r="D188" s="347"/>
      <c r="E188" s="42" t="s">
        <v>138</v>
      </c>
      <c r="F188" s="106" t="s">
        <v>40</v>
      </c>
      <c r="G188" s="106">
        <f>(IF(SUM(H182+H184+H186)&lt;=2,SUM(H182+H184+H186),2))</f>
        <v>0</v>
      </c>
      <c r="H188" s="29"/>
      <c r="I188" s="103">
        <f>(IF(SUM(H182+H184+H186)&lt;=2,SUM(H182+H184+H186),2))</f>
        <v>0</v>
      </c>
      <c r="J188" s="25"/>
      <c r="K188" s="28">
        <f>K186</f>
        <v>0</v>
      </c>
      <c r="L188" s="280"/>
      <c r="M188" s="29"/>
      <c r="N188" s="30">
        <f>N186</f>
        <v>0</v>
      </c>
      <c r="O188" s="280"/>
    </row>
    <row r="189" spans="2:15" ht="5.25" customHeight="1" x14ac:dyDescent="0.35">
      <c r="B189" s="221"/>
      <c r="C189" s="249"/>
      <c r="D189" s="97"/>
      <c r="E189" s="78"/>
      <c r="F189" s="78"/>
      <c r="G189" s="78"/>
      <c r="H189" s="78"/>
      <c r="I189" s="107"/>
      <c r="K189" s="105"/>
      <c r="L189" s="9"/>
      <c r="N189" s="105"/>
      <c r="O189" s="9"/>
    </row>
    <row r="190" spans="2:15" s="27" customFormat="1" ht="25.5" customHeight="1" x14ac:dyDescent="0.25">
      <c r="B190" s="221"/>
      <c r="C190" s="314" t="s">
        <v>161</v>
      </c>
      <c r="D190" s="209"/>
      <c r="E190" s="210"/>
      <c r="F190" s="82" t="s">
        <v>46</v>
      </c>
      <c r="G190" s="102">
        <f>G160+G180+G188</f>
        <v>0</v>
      </c>
      <c r="H190" s="25"/>
      <c r="I190" s="103">
        <f>(IF(SUM(I160+I180+I188)&lt;=8,SUM(I160+I180+I188),8))</f>
        <v>0</v>
      </c>
      <c r="J190" s="25"/>
      <c r="K190" s="28">
        <f>K186</f>
        <v>0</v>
      </c>
      <c r="L190" s="280"/>
      <c r="M190" s="29"/>
      <c r="N190" s="30">
        <f>N186</f>
        <v>0</v>
      </c>
      <c r="O190" s="280"/>
    </row>
    <row r="191" spans="2:15" ht="5.25" customHeight="1" x14ac:dyDescent="0.35">
      <c r="B191" s="310"/>
      <c r="C191" s="110"/>
      <c r="D191" s="110"/>
      <c r="E191" s="78"/>
      <c r="F191" s="78"/>
      <c r="G191" s="78"/>
      <c r="H191" s="78"/>
      <c r="I191" s="104"/>
      <c r="K191" s="105"/>
      <c r="L191" s="9"/>
      <c r="N191" s="105"/>
      <c r="O191" s="9"/>
    </row>
    <row r="192" spans="2:15" ht="46.5" customHeight="1" x14ac:dyDescent="0.25">
      <c r="B192" s="336">
        <v>14</v>
      </c>
      <c r="C192" s="339" t="s">
        <v>11</v>
      </c>
      <c r="D192" s="339" t="s">
        <v>162</v>
      </c>
      <c r="E192" s="59" t="s">
        <v>163</v>
      </c>
      <c r="F192" s="40" t="s">
        <v>132</v>
      </c>
      <c r="G192" s="213" t="s">
        <v>7</v>
      </c>
      <c r="H192" s="99">
        <f>IF(F192="","",VLOOKUP(F192,'[2]Referencias Productivos'!E150:F151,2,FALSE))</f>
        <v>0</v>
      </c>
      <c r="I192" s="230"/>
      <c r="L192" s="9"/>
      <c r="O192" s="9"/>
    </row>
    <row r="193" spans="2:15" ht="5.25" customHeight="1" x14ac:dyDescent="0.25">
      <c r="B193" s="337"/>
      <c r="C193" s="340"/>
      <c r="D193" s="340"/>
      <c r="E193" s="32"/>
      <c r="F193" s="32"/>
      <c r="G193" s="223"/>
      <c r="H193" s="223"/>
      <c r="I193" s="230"/>
      <c r="L193" s="9"/>
      <c r="O193" s="9"/>
    </row>
    <row r="194" spans="2:15" ht="30" customHeight="1" x14ac:dyDescent="0.25">
      <c r="B194" s="338"/>
      <c r="C194" s="341"/>
      <c r="D194" s="341"/>
      <c r="E194" s="59" t="s">
        <v>383</v>
      </c>
      <c r="F194" s="40" t="s">
        <v>132</v>
      </c>
      <c r="G194" s="213" t="s">
        <v>1</v>
      </c>
      <c r="H194" s="116">
        <f>IF(F194="","",VLOOKUP(F194,'[2]Referencias Productivos'!E152:F153,2,FALSE))</f>
        <v>0</v>
      </c>
      <c r="I194" s="115"/>
      <c r="L194" s="9"/>
      <c r="O194" s="9"/>
    </row>
    <row r="195" spans="2:15" ht="5.25" customHeight="1" thickBot="1" x14ac:dyDescent="0.4">
      <c r="B195" s="221"/>
      <c r="C195" s="92"/>
      <c r="D195" s="92"/>
      <c r="E195" s="117"/>
      <c r="F195" s="117"/>
      <c r="G195" s="117"/>
      <c r="H195" s="117"/>
      <c r="I195" s="118"/>
      <c r="K195" s="105"/>
      <c r="L195" s="9"/>
      <c r="N195" s="105"/>
      <c r="O195" s="9"/>
    </row>
    <row r="196" spans="2:15" s="27" customFormat="1" ht="25.5" customHeight="1" x14ac:dyDescent="0.25">
      <c r="B196" s="211"/>
      <c r="C196" s="314" t="s">
        <v>165</v>
      </c>
      <c r="D196" s="209"/>
      <c r="E196" s="210"/>
      <c r="F196" s="82" t="s">
        <v>46</v>
      </c>
      <c r="G196" s="102">
        <f>H192+H194</f>
        <v>0</v>
      </c>
      <c r="H196" s="25"/>
      <c r="I196" s="119">
        <f>(IF(SUM(H192+H194)&lt;=8,SUM(H192+H194),8))</f>
        <v>0</v>
      </c>
      <c r="J196" s="25"/>
      <c r="K196" s="28">
        <f>K192</f>
        <v>0</v>
      </c>
      <c r="L196" s="280"/>
      <c r="M196" s="29"/>
      <c r="N196" s="30">
        <f>N192</f>
        <v>0</v>
      </c>
      <c r="O196" s="280"/>
    </row>
    <row r="197" spans="2:15" ht="5.25" customHeight="1" thickBot="1" x14ac:dyDescent="0.4">
      <c r="B197" s="120"/>
      <c r="C197" s="117"/>
      <c r="D197" s="117"/>
      <c r="E197" s="117"/>
      <c r="F197" s="117"/>
      <c r="G197" s="117"/>
      <c r="H197" s="117"/>
      <c r="I197" s="118"/>
      <c r="K197" s="105"/>
      <c r="L197" s="9"/>
      <c r="N197" s="105"/>
      <c r="O197" s="9"/>
    </row>
    <row r="198" spans="2:15" ht="21.95" customHeight="1" thickBot="1" x14ac:dyDescent="0.3">
      <c r="B198" s="121"/>
      <c r="C198" s="121"/>
      <c r="D198" s="121"/>
      <c r="E198" s="121"/>
      <c r="F198" s="121"/>
      <c r="G198" s="121"/>
      <c r="H198" s="121"/>
      <c r="I198" s="121"/>
      <c r="J198" s="25"/>
      <c r="K198" s="33"/>
      <c r="L198" s="9"/>
      <c r="M198" s="3"/>
      <c r="O198" s="9"/>
    </row>
    <row r="199" spans="2:15" s="48" customFormat="1" ht="34.5" customHeight="1" thickBot="1" x14ac:dyDescent="0.3">
      <c r="B199" s="315" t="s">
        <v>166</v>
      </c>
      <c r="C199" s="207"/>
      <c r="D199" s="207"/>
      <c r="E199" s="207"/>
      <c r="F199" s="207"/>
      <c r="G199" s="207"/>
      <c r="H199" s="208"/>
      <c r="I199" s="122">
        <f>I132+I148+I190+I196</f>
        <v>0</v>
      </c>
      <c r="J199" s="46"/>
      <c r="K199" s="47">
        <f>K167+K175+K195</f>
        <v>0</v>
      </c>
      <c r="L199" s="49"/>
      <c r="N199" s="49">
        <f>N167+N175+N195</f>
        <v>0</v>
      </c>
      <c r="O199" s="49"/>
    </row>
    <row r="203" spans="2:15" ht="28.5" x14ac:dyDescent="0.25">
      <c r="C203" s="198" t="s">
        <v>167</v>
      </c>
      <c r="D203" s="198"/>
      <c r="E203" s="198"/>
      <c r="F203" s="198"/>
    </row>
    <row r="204" spans="2:15" ht="24" thickBot="1" x14ac:dyDescent="0.3"/>
    <row r="205" spans="2:15" ht="47.25" customHeight="1" thickBot="1" x14ac:dyDescent="0.3">
      <c r="B205" s="316" t="s">
        <v>168</v>
      </c>
      <c r="C205" s="199"/>
      <c r="D205" s="199"/>
      <c r="E205" s="199"/>
      <c r="F205" s="199"/>
      <c r="G205" s="199"/>
      <c r="H205" s="199"/>
      <c r="I205" s="200"/>
    </row>
    <row r="206" spans="2:15" ht="24" thickBot="1" x14ac:dyDescent="0.3"/>
    <row r="207" spans="2:15" ht="34.5" customHeight="1" thickBot="1" x14ac:dyDescent="0.3">
      <c r="B207" s="285" t="s">
        <v>58</v>
      </c>
      <c r="C207" s="201"/>
      <c r="D207" s="201"/>
      <c r="E207" s="201"/>
      <c r="F207" s="201"/>
      <c r="G207" s="201"/>
      <c r="H207" s="202"/>
      <c r="I207" s="45">
        <f>I45</f>
        <v>0</v>
      </c>
    </row>
    <row r="208" spans="2:15" ht="24" thickBot="1" x14ac:dyDescent="0.3"/>
    <row r="209" spans="2:15" ht="34.5" customHeight="1" thickBot="1" x14ac:dyDescent="0.3">
      <c r="B209" s="291" t="s">
        <v>95</v>
      </c>
      <c r="C209" s="203"/>
      <c r="D209" s="203"/>
      <c r="E209" s="203"/>
      <c r="F209" s="203"/>
      <c r="G209" s="203"/>
      <c r="H209" s="204"/>
      <c r="I209" s="70">
        <f>I83</f>
        <v>13.5</v>
      </c>
    </row>
    <row r="210" spans="2:15" ht="24" thickBot="1" x14ac:dyDescent="0.3"/>
    <row r="211" spans="2:15" ht="34.5" customHeight="1" thickBot="1" x14ac:dyDescent="0.3">
      <c r="B211" s="306" t="s">
        <v>123</v>
      </c>
      <c r="C211" s="205"/>
      <c r="D211" s="205"/>
      <c r="E211" s="205"/>
      <c r="F211" s="205"/>
      <c r="G211" s="205"/>
      <c r="H211" s="206"/>
      <c r="I211" s="95">
        <f>I120</f>
        <v>0</v>
      </c>
    </row>
    <row r="212" spans="2:15" ht="24" thickBot="1" x14ac:dyDescent="0.3"/>
    <row r="213" spans="2:15" ht="34.5" customHeight="1" thickBot="1" x14ac:dyDescent="0.3">
      <c r="B213" s="315" t="s">
        <v>166</v>
      </c>
      <c r="C213" s="207"/>
      <c r="D213" s="207"/>
      <c r="E213" s="207"/>
      <c r="F213" s="207"/>
      <c r="G213" s="207"/>
      <c r="H213" s="208"/>
      <c r="I213" s="122">
        <f>I199</f>
        <v>0</v>
      </c>
    </row>
    <row r="216" spans="2:15" ht="24" thickBot="1" x14ac:dyDescent="0.3"/>
    <row r="217" spans="2:15" ht="36.75" customHeight="1" thickBot="1" x14ac:dyDescent="0.3">
      <c r="B217" s="317" t="s">
        <v>169</v>
      </c>
      <c r="C217" s="196"/>
      <c r="D217" s="196"/>
      <c r="E217" s="196"/>
      <c r="F217" s="196"/>
      <c r="G217" s="196"/>
      <c r="H217" s="197"/>
      <c r="I217" s="123">
        <f>I45+I83+I120+I199</f>
        <v>13.5</v>
      </c>
      <c r="J217" s="124"/>
      <c r="K217" s="125" t="e">
        <f>K119+K83+#REF!+#REF!+#REF!</f>
        <v>#REF!</v>
      </c>
      <c r="L217" s="277"/>
      <c r="M217" s="126"/>
      <c r="N217" s="127" t="e">
        <f>N119+N83+#REF!+#REF!+#REF!</f>
        <v>#REF!</v>
      </c>
      <c r="O217" s="277"/>
    </row>
    <row r="219" spans="2:15" s="129" customFormat="1" ht="28.5" x14ac:dyDescent="0.25">
      <c r="B219" s="128"/>
      <c r="C219" s="318" t="s">
        <v>384</v>
      </c>
      <c r="D219" s="318"/>
      <c r="E219" s="318"/>
      <c r="G219" s="130"/>
      <c r="H219" s="130"/>
      <c r="I219" s="130"/>
      <c r="K219" s="3"/>
      <c r="L219" s="3"/>
      <c r="N219" s="3"/>
      <c r="O219" s="3"/>
    </row>
    <row r="220" spans="2:15" s="129" customFormat="1" ht="28.5" x14ac:dyDescent="0.25">
      <c r="B220" s="128"/>
      <c r="C220" s="198"/>
      <c r="D220" s="198"/>
      <c r="E220" s="198"/>
      <c r="G220" s="130"/>
      <c r="H220" s="130"/>
      <c r="I220" s="130"/>
      <c r="K220" s="3"/>
      <c r="L220" s="3"/>
      <c r="N220" s="3"/>
      <c r="O220" s="3"/>
    </row>
    <row r="221" spans="2:15" s="129" customFormat="1" ht="28.5" x14ac:dyDescent="0.25">
      <c r="B221" s="128"/>
      <c r="C221" s="198"/>
      <c r="D221" s="198"/>
      <c r="E221" s="198"/>
      <c r="G221" s="130"/>
      <c r="H221" s="130"/>
      <c r="I221" s="130"/>
      <c r="K221" s="3"/>
      <c r="L221" s="3"/>
      <c r="N221" s="3"/>
      <c r="O221" s="3"/>
    </row>
    <row r="222" spans="2:15" s="129" customFormat="1" ht="28.5" x14ac:dyDescent="0.25">
      <c r="B222" s="128"/>
      <c r="C222" s="198"/>
      <c r="D222" s="198"/>
      <c r="E222" s="198"/>
      <c r="G222" s="130"/>
      <c r="H222" s="130"/>
      <c r="I222" s="130"/>
      <c r="K222" s="3"/>
      <c r="L222" s="3"/>
      <c r="N222" s="3"/>
      <c r="O222" s="3"/>
    </row>
    <row r="223" spans="2:15" ht="15" customHeight="1" x14ac:dyDescent="0.25">
      <c r="C223" s="3"/>
      <c r="D223" s="3"/>
      <c r="F223" s="129"/>
      <c r="G223" s="130"/>
      <c r="H223" s="130"/>
      <c r="I223" s="130"/>
    </row>
    <row r="224" spans="2:15" ht="23.25" customHeight="1" x14ac:dyDescent="0.25">
      <c r="C224" s="3"/>
      <c r="D224" s="3"/>
      <c r="G224" s="130"/>
      <c r="H224" s="130"/>
      <c r="I224" s="130"/>
    </row>
    <row r="225" spans="3:9" ht="28.5" x14ac:dyDescent="0.25">
      <c r="C225" s="131" t="s">
        <v>170</v>
      </c>
      <c r="D225" s="319"/>
      <c r="E225" s="319"/>
      <c r="F225" s="3"/>
      <c r="G225" s="130"/>
      <c r="H225" s="130"/>
      <c r="I225" s="130"/>
    </row>
    <row r="226" spans="3:9" x14ac:dyDescent="0.25">
      <c r="E226" s="3"/>
      <c r="G226" s="130"/>
      <c r="H226" s="130"/>
      <c r="I226" s="130"/>
    </row>
  </sheetData>
  <dataConsolidate/>
  <mergeCells count="42">
    <mergeCell ref="B192:B194"/>
    <mergeCell ref="C192:C194"/>
    <mergeCell ref="D192:D194"/>
    <mergeCell ref="H126:H128"/>
    <mergeCell ref="B134:B146"/>
    <mergeCell ref="C134:C146"/>
    <mergeCell ref="D134:D140"/>
    <mergeCell ref="B150:B188"/>
    <mergeCell ref="C150:C188"/>
    <mergeCell ref="D150:D158"/>
    <mergeCell ref="D162:D178"/>
    <mergeCell ref="D182:D188"/>
    <mergeCell ref="B124:B130"/>
    <mergeCell ref="C124:C130"/>
    <mergeCell ref="D126:D130"/>
    <mergeCell ref="E126:E128"/>
    <mergeCell ref="F126:F128"/>
    <mergeCell ref="G126:G128"/>
    <mergeCell ref="E87:E89"/>
    <mergeCell ref="C95:C103"/>
    <mergeCell ref="D95:D97"/>
    <mergeCell ref="D99:D103"/>
    <mergeCell ref="C107:C109"/>
    <mergeCell ref="C113:C115"/>
    <mergeCell ref="C28:C30"/>
    <mergeCell ref="D28:D30"/>
    <mergeCell ref="C34:C36"/>
    <mergeCell ref="D34:D36"/>
    <mergeCell ref="C87:C91"/>
    <mergeCell ref="D87:D89"/>
    <mergeCell ref="B8:C8"/>
    <mergeCell ref="D8:E8"/>
    <mergeCell ref="B14:B24"/>
    <mergeCell ref="C14:C24"/>
    <mergeCell ref="D14:D16"/>
    <mergeCell ref="D20:D22"/>
    <mergeCell ref="H1:I1"/>
    <mergeCell ref="D3:F3"/>
    <mergeCell ref="B6:C6"/>
    <mergeCell ref="D6:I6"/>
    <mergeCell ref="B7:C7"/>
    <mergeCell ref="D7:F7"/>
  </mergeCells>
  <conditionalFormatting sqref="I217">
    <cfRule type="expression" dxfId="195" priority="190" stopIfTrue="1">
      <formula>"SI($E$6=""Proyecto Productivo"")&gt;25"</formula>
    </cfRule>
    <cfRule type="expression" dxfId="194" priority="189">
      <formula>"'=SI($E$6&gt;&lt;""Proyecto Productivo""Y&gt;25)"</formula>
    </cfRule>
  </conditionalFormatting>
  <conditionalFormatting sqref="K14 K16:K18 K22 K28 K30 K34 K36 K40 K50 K150:K156">
    <cfRule type="cellIs" dxfId="193" priority="176" operator="equal">
      <formula>$H14</formula>
    </cfRule>
    <cfRule type="cellIs" dxfId="192" priority="175" operator="notEqual">
      <formula>$H14</formula>
    </cfRule>
  </conditionalFormatting>
  <conditionalFormatting sqref="K20">
    <cfRule type="cellIs" dxfId="191" priority="105" operator="notEqual">
      <formula>$H20</formula>
    </cfRule>
    <cfRule type="cellIs" dxfId="190" priority="106" operator="equal">
      <formula>$H20</formula>
    </cfRule>
  </conditionalFormatting>
  <conditionalFormatting sqref="K24:K26 K32 K38 K42:K43 K64">
    <cfRule type="cellIs" dxfId="189" priority="151" operator="notEqual">
      <formula>$I24</formula>
    </cfRule>
    <cfRule type="cellIs" dxfId="188" priority="152" operator="equal">
      <formula>$I24</formula>
    </cfRule>
  </conditionalFormatting>
  <conditionalFormatting sqref="K45">
    <cfRule type="cellIs" dxfId="187" priority="56" operator="equal">
      <formula>$I45</formula>
    </cfRule>
    <cfRule type="cellIs" dxfId="186" priority="55" operator="notEqual">
      <formula>$I45</formula>
    </cfRule>
  </conditionalFormatting>
  <conditionalFormatting sqref="K52">
    <cfRule type="cellIs" dxfId="185" priority="172" operator="equal">
      <formula>$H52</formula>
    </cfRule>
    <cfRule type="cellIs" dxfId="184" priority="171" operator="notEqual">
      <formula>$H52</formula>
    </cfRule>
  </conditionalFormatting>
  <conditionalFormatting sqref="K54:K60">
    <cfRule type="cellIs" dxfId="183" priority="168" operator="equal">
      <formula>$H54</formula>
    </cfRule>
    <cfRule type="cellIs" dxfId="182" priority="167" operator="notEqual">
      <formula>$H54</formula>
    </cfRule>
  </conditionalFormatting>
  <conditionalFormatting sqref="K62">
    <cfRule type="cellIs" dxfId="181" priority="164" operator="equal">
      <formula>$H62</formula>
    </cfRule>
    <cfRule type="cellIs" dxfId="180" priority="163" operator="notEqual">
      <formula>$H62</formula>
    </cfRule>
  </conditionalFormatting>
  <conditionalFormatting sqref="K66 K68 K70">
    <cfRule type="cellIs" dxfId="179" priority="193" operator="notEqual">
      <formula>$H74</formula>
    </cfRule>
    <cfRule type="cellIs" dxfId="178" priority="194" operator="equal">
      <formula>$H74</formula>
    </cfRule>
  </conditionalFormatting>
  <conditionalFormatting sqref="K72">
    <cfRule type="cellIs" dxfId="177" priority="148" operator="equal">
      <formula>$I72</formula>
    </cfRule>
    <cfRule type="cellIs" dxfId="176" priority="147" operator="notEqual">
      <formula>$I72</formula>
    </cfRule>
  </conditionalFormatting>
  <conditionalFormatting sqref="K78">
    <cfRule type="cellIs" dxfId="175" priority="196" operator="equal">
      <formula>$H68</formula>
    </cfRule>
    <cfRule type="cellIs" dxfId="174" priority="195" operator="notEqual">
      <formula>$H68</formula>
    </cfRule>
  </conditionalFormatting>
  <conditionalFormatting sqref="K80">
    <cfRule type="cellIs" dxfId="173" priority="144" operator="equal">
      <formula>$I80</formula>
    </cfRule>
    <cfRule type="cellIs" dxfId="172" priority="143" operator="notEqual">
      <formula>$I80</formula>
    </cfRule>
  </conditionalFormatting>
  <conditionalFormatting sqref="K83">
    <cfRule type="cellIs" dxfId="171" priority="52" operator="equal">
      <formula>$I83</formula>
    </cfRule>
    <cfRule type="cellIs" dxfId="170" priority="51" operator="notEqual">
      <formula>$I83</formula>
    </cfRule>
  </conditionalFormatting>
  <conditionalFormatting sqref="K87">
    <cfRule type="cellIs" dxfId="169" priority="188" stopIfTrue="1" operator="equal">
      <formula>$I$87</formula>
    </cfRule>
    <cfRule type="cellIs" dxfId="168" priority="187" stopIfTrue="1" operator="notEqual">
      <formula>$I$87</formula>
    </cfRule>
  </conditionalFormatting>
  <conditionalFormatting sqref="K89">
    <cfRule type="cellIs" dxfId="167" priority="183" operator="notEqual">
      <formula>$I$89</formula>
    </cfRule>
    <cfRule type="cellIs" dxfId="166" priority="184" stopIfTrue="1" operator="equal">
      <formula>$I$89</formula>
    </cfRule>
  </conditionalFormatting>
  <conditionalFormatting sqref="K91">
    <cfRule type="cellIs" dxfId="165" priority="104" stopIfTrue="1" operator="equal">
      <formula>$I$87</formula>
    </cfRule>
    <cfRule type="cellIs" dxfId="164" priority="103" stopIfTrue="1" operator="notEqual">
      <formula>$I$87</formula>
    </cfRule>
  </conditionalFormatting>
  <conditionalFormatting sqref="K93">
    <cfRule type="cellIs" dxfId="163" priority="39" operator="notEqual">
      <formula>$I93</formula>
    </cfRule>
    <cfRule type="cellIs" dxfId="162" priority="40" operator="equal">
      <formula>$I93</formula>
    </cfRule>
  </conditionalFormatting>
  <conditionalFormatting sqref="K97">
    <cfRule type="cellIs" dxfId="161" priority="179" operator="notEqual">
      <formula>$I97</formula>
    </cfRule>
    <cfRule type="cellIs" dxfId="160" priority="180" operator="equal">
      <formula>$I97</formula>
    </cfRule>
  </conditionalFormatting>
  <conditionalFormatting sqref="K103">
    <cfRule type="cellIs" dxfId="159" priority="92" stopIfTrue="1" operator="equal">
      <formula>$I$87</formula>
    </cfRule>
    <cfRule type="cellIs" dxfId="158" priority="91" stopIfTrue="1" operator="notEqual">
      <formula>$I$87</formula>
    </cfRule>
  </conditionalFormatting>
  <conditionalFormatting sqref="K105">
    <cfRule type="cellIs" dxfId="157" priority="35" operator="notEqual">
      <formula>$I105</formula>
    </cfRule>
    <cfRule type="cellIs" dxfId="156" priority="36" operator="equal">
      <formula>$I105</formula>
    </cfRule>
  </conditionalFormatting>
  <conditionalFormatting sqref="K106:K107">
    <cfRule type="cellIs" dxfId="155" priority="100" stopIfTrue="1" operator="equal">
      <formula>$I$87</formula>
    </cfRule>
    <cfRule type="cellIs" dxfId="154" priority="99" stopIfTrue="1" operator="notEqual">
      <formula>$I$87</formula>
    </cfRule>
  </conditionalFormatting>
  <conditionalFormatting sqref="K109">
    <cfRule type="cellIs" dxfId="153" priority="95" stopIfTrue="1" operator="notEqual">
      <formula>$I$87</formula>
    </cfRule>
    <cfRule type="cellIs" dxfId="152" priority="96" stopIfTrue="1" operator="equal">
      <formula>$I$87</formula>
    </cfRule>
  </conditionalFormatting>
  <conditionalFormatting sqref="K111">
    <cfRule type="cellIs" dxfId="151" priority="32" operator="equal">
      <formula>$I111</formula>
    </cfRule>
    <cfRule type="cellIs" dxfId="150" priority="31" operator="notEqual">
      <formula>$I111</formula>
    </cfRule>
  </conditionalFormatting>
  <conditionalFormatting sqref="K112:K113">
    <cfRule type="cellIs" dxfId="149" priority="87" stopIfTrue="1" operator="notEqual">
      <formula>$I$87</formula>
    </cfRule>
    <cfRule type="cellIs" dxfId="148" priority="88" stopIfTrue="1" operator="equal">
      <formula>$I$87</formula>
    </cfRule>
  </conditionalFormatting>
  <conditionalFormatting sqref="K115">
    <cfRule type="cellIs" dxfId="147" priority="84" stopIfTrue="1" operator="equal">
      <formula>$I$89</formula>
    </cfRule>
    <cfRule type="cellIs" dxfId="146" priority="83" operator="notEqual">
      <formula>$I$89</formula>
    </cfRule>
  </conditionalFormatting>
  <conditionalFormatting sqref="K117">
    <cfRule type="cellIs" dxfId="145" priority="3" operator="notEqual">
      <formula>$I117</formula>
    </cfRule>
    <cfRule type="cellIs" dxfId="144" priority="4" operator="equal">
      <formula>$I117</formula>
    </cfRule>
  </conditionalFormatting>
  <conditionalFormatting sqref="K118">
    <cfRule type="cellIs" dxfId="143" priority="7" stopIfTrue="1" operator="notEqual">
      <formula>$I$87</formula>
    </cfRule>
    <cfRule type="cellIs" dxfId="142" priority="8" stopIfTrue="1" operator="equal">
      <formula>$I$87</formula>
    </cfRule>
  </conditionalFormatting>
  <conditionalFormatting sqref="K119:K121">
    <cfRule type="cellIs" dxfId="141" priority="47" operator="notEqual">
      <formula>$I119</formula>
    </cfRule>
    <cfRule type="cellIs" dxfId="140" priority="48" operator="equal">
      <formula>$I119</formula>
    </cfRule>
  </conditionalFormatting>
  <conditionalFormatting sqref="K124:K130">
    <cfRule type="cellIs" dxfId="139" priority="140" operator="equal">
      <formula>$H124</formula>
    </cfRule>
    <cfRule type="cellIs" dxfId="138" priority="139" operator="notEqual">
      <formula>$H124</formula>
    </cfRule>
  </conditionalFormatting>
  <conditionalFormatting sqref="K132">
    <cfRule type="cellIs" dxfId="137" priority="75" operator="notEqual">
      <formula>$I132</formula>
    </cfRule>
    <cfRule type="cellIs" dxfId="136" priority="76" operator="equal">
      <formula>$I132</formula>
    </cfRule>
  </conditionalFormatting>
  <conditionalFormatting sqref="K134">
    <cfRule type="cellIs" dxfId="135" priority="136" operator="equal">
      <formula>$H134</formula>
    </cfRule>
    <cfRule type="cellIs" dxfId="134" priority="135" operator="notEqual">
      <formula>$H134</formula>
    </cfRule>
  </conditionalFormatting>
  <conditionalFormatting sqref="K138">
    <cfRule type="cellIs" dxfId="133" priority="132" operator="equal">
      <formula>$H138</formula>
    </cfRule>
    <cfRule type="cellIs" dxfId="132" priority="131" operator="notEqual">
      <formula>$H138</formula>
    </cfRule>
  </conditionalFormatting>
  <conditionalFormatting sqref="K140">
    <cfRule type="cellIs" dxfId="131" priority="112" operator="equal">
      <formula>$H140</formula>
    </cfRule>
    <cfRule type="cellIs" dxfId="130" priority="111" operator="notEqual">
      <formula>$H140</formula>
    </cfRule>
  </conditionalFormatting>
  <conditionalFormatting sqref="K142">
    <cfRule type="cellIs" dxfId="129" priority="79" operator="notEqual">
      <formula>$I142</formula>
    </cfRule>
    <cfRule type="cellIs" dxfId="128" priority="80" operator="equal">
      <formula>$I142</formula>
    </cfRule>
  </conditionalFormatting>
  <conditionalFormatting sqref="K144">
    <cfRule type="cellIs" dxfId="127" priority="127" operator="notEqual">
      <formula>$H144</formula>
    </cfRule>
    <cfRule type="cellIs" dxfId="126" priority="128" operator="equal">
      <formula>$H144</formula>
    </cfRule>
  </conditionalFormatting>
  <conditionalFormatting sqref="K146">
    <cfRule type="cellIs" dxfId="125" priority="71" operator="notEqual">
      <formula>$I146</formula>
    </cfRule>
    <cfRule type="cellIs" dxfId="124" priority="72" operator="equal">
      <formula>$I146</formula>
    </cfRule>
  </conditionalFormatting>
  <conditionalFormatting sqref="K148">
    <cfRule type="cellIs" dxfId="123" priority="67" operator="notEqual">
      <formula>$I148</formula>
    </cfRule>
    <cfRule type="cellIs" dxfId="122" priority="68" operator="equal">
      <formula>$I148</formula>
    </cfRule>
  </conditionalFormatting>
  <conditionalFormatting sqref="K158">
    <cfRule type="cellIs" dxfId="121" priority="123" operator="notEqual">
      <formula>$H158</formula>
    </cfRule>
    <cfRule type="cellIs" dxfId="120" priority="124" operator="equal">
      <formula>$H158</formula>
    </cfRule>
  </conditionalFormatting>
  <conditionalFormatting sqref="K160">
    <cfRule type="cellIs" dxfId="119" priority="27" operator="notEqual">
      <formula>$I160</formula>
    </cfRule>
    <cfRule type="cellIs" dxfId="118" priority="28" operator="equal">
      <formula>$I160</formula>
    </cfRule>
  </conditionalFormatting>
  <conditionalFormatting sqref="K162:K176">
    <cfRule type="cellIs" dxfId="117" priority="63" operator="notEqual">
      <formula>$H162</formula>
    </cfRule>
    <cfRule type="cellIs" dxfId="116" priority="64" operator="equal">
      <formula>$H162</formula>
    </cfRule>
  </conditionalFormatting>
  <conditionalFormatting sqref="K178">
    <cfRule type="cellIs" dxfId="115" priority="59" operator="notEqual">
      <formula>$H178</formula>
    </cfRule>
    <cfRule type="cellIs" dxfId="114" priority="60" operator="equal">
      <formula>$H178</formula>
    </cfRule>
  </conditionalFormatting>
  <conditionalFormatting sqref="K180">
    <cfRule type="cellIs" dxfId="113" priority="23" operator="notEqual">
      <formula>$I180</formula>
    </cfRule>
    <cfRule type="cellIs" dxfId="112" priority="24" operator="equal">
      <formula>$I180</formula>
    </cfRule>
  </conditionalFormatting>
  <conditionalFormatting sqref="K182:K187 K192:K194">
    <cfRule type="cellIs" dxfId="111" priority="119" operator="notEqual">
      <formula>$H182</formula>
    </cfRule>
    <cfRule type="cellIs" dxfId="110" priority="120" operator="equal">
      <formula>$H182</formula>
    </cfRule>
  </conditionalFormatting>
  <conditionalFormatting sqref="K188">
    <cfRule type="cellIs" dxfId="109" priority="15" operator="notEqual">
      <formula>$I188</formula>
    </cfRule>
    <cfRule type="cellIs" dxfId="108" priority="16" operator="equal">
      <formula>$I188</formula>
    </cfRule>
  </conditionalFormatting>
  <conditionalFormatting sqref="K190">
    <cfRule type="cellIs" dxfId="107" priority="20" operator="equal">
      <formula>$I190</formula>
    </cfRule>
    <cfRule type="cellIs" dxfId="106" priority="19" operator="notEqual">
      <formula>$I190</formula>
    </cfRule>
  </conditionalFormatting>
  <conditionalFormatting sqref="K196">
    <cfRule type="cellIs" dxfId="105" priority="12" operator="equal">
      <formula>$I196</formula>
    </cfRule>
    <cfRule type="cellIs" dxfId="104" priority="11" operator="notEqual">
      <formula>$I196</formula>
    </cfRule>
  </conditionalFormatting>
  <conditionalFormatting sqref="K198:K199">
    <cfRule type="cellIs" dxfId="103" priority="43" operator="notEqual">
      <formula>$I198</formula>
    </cfRule>
    <cfRule type="cellIs" dxfId="102" priority="44" operator="equal">
      <formula>$I198</formula>
    </cfRule>
  </conditionalFormatting>
  <conditionalFormatting sqref="K217">
    <cfRule type="cellIs" dxfId="101" priority="115" operator="notEqual">
      <formula>$I217</formula>
    </cfRule>
    <cfRule type="cellIs" dxfId="100" priority="116" operator="equal">
      <formula>$I217</formula>
    </cfRule>
  </conditionalFormatting>
  <conditionalFormatting sqref="N14 N16:N18 N22 N28 N30 N34 N36 N40 N150:N156">
    <cfRule type="cellIs" dxfId="99" priority="177" operator="notEqual">
      <formula>$K14</formula>
    </cfRule>
    <cfRule type="cellIs" dxfId="98" priority="178" operator="equal">
      <formula>$K14</formula>
    </cfRule>
  </conditionalFormatting>
  <conditionalFormatting sqref="N20">
    <cfRule type="cellIs" dxfId="97" priority="107" operator="notEqual">
      <formula>$K20</formula>
    </cfRule>
    <cfRule type="cellIs" dxfId="96" priority="108" operator="equal">
      <formula>$K20</formula>
    </cfRule>
  </conditionalFormatting>
  <conditionalFormatting sqref="N24:N26 N32 N38 N42:N43 N64">
    <cfRule type="cellIs" dxfId="95" priority="150" operator="notEqual">
      <formula>$K24</formula>
    </cfRule>
    <cfRule type="cellIs" dxfId="94" priority="149" operator="equal">
      <formula>$K24</formula>
    </cfRule>
  </conditionalFormatting>
  <conditionalFormatting sqref="N45">
    <cfRule type="cellIs" dxfId="93" priority="53" operator="equal">
      <formula>$K45</formula>
    </cfRule>
    <cfRule type="cellIs" dxfId="92" priority="54" operator="notEqual">
      <formula>$K45</formula>
    </cfRule>
  </conditionalFormatting>
  <conditionalFormatting sqref="N50">
    <cfRule type="cellIs" dxfId="91" priority="174" operator="equal">
      <formula>$K50</formula>
    </cfRule>
    <cfRule type="cellIs" dxfId="90" priority="173" operator="notEqual">
      <formula>$K50</formula>
    </cfRule>
  </conditionalFormatting>
  <conditionalFormatting sqref="N52">
    <cfRule type="cellIs" dxfId="89" priority="170" operator="equal">
      <formula>$K52</formula>
    </cfRule>
    <cfRule type="cellIs" dxfId="88" priority="169" operator="notEqual">
      <formula>$K52</formula>
    </cfRule>
  </conditionalFormatting>
  <conditionalFormatting sqref="N54:N60">
    <cfRule type="cellIs" dxfId="87" priority="166" operator="equal">
      <formula>$K54</formula>
    </cfRule>
    <cfRule type="cellIs" dxfId="86" priority="165" operator="notEqual">
      <formula>$K54</formula>
    </cfRule>
  </conditionalFormatting>
  <conditionalFormatting sqref="N62">
    <cfRule type="cellIs" dxfId="85" priority="161" operator="notEqual">
      <formula>$K62</formula>
    </cfRule>
    <cfRule type="cellIs" dxfId="84" priority="162" operator="equal">
      <formula>$K62</formula>
    </cfRule>
  </conditionalFormatting>
  <conditionalFormatting sqref="N66">
    <cfRule type="cellIs" dxfId="83" priority="160" operator="equal">
      <formula>$K66</formula>
    </cfRule>
    <cfRule type="cellIs" dxfId="82" priority="159" operator="notEqual">
      <formula>$K66</formula>
    </cfRule>
  </conditionalFormatting>
  <conditionalFormatting sqref="N68">
    <cfRule type="cellIs" dxfId="81" priority="158" operator="equal">
      <formula>$K68</formula>
    </cfRule>
    <cfRule type="cellIs" dxfId="80" priority="157" operator="notEqual">
      <formula>$K68</formula>
    </cfRule>
  </conditionalFormatting>
  <conditionalFormatting sqref="N70">
    <cfRule type="cellIs" dxfId="79" priority="156" operator="equal">
      <formula>$K70</formula>
    </cfRule>
    <cfRule type="cellIs" dxfId="78" priority="155" operator="notEqual">
      <formula>$K70</formula>
    </cfRule>
  </conditionalFormatting>
  <conditionalFormatting sqref="N72">
    <cfRule type="cellIs" dxfId="77" priority="146" operator="notEqual">
      <formula>$K72</formula>
    </cfRule>
    <cfRule type="cellIs" dxfId="76" priority="145" operator="equal">
      <formula>$K72</formula>
    </cfRule>
  </conditionalFormatting>
  <conditionalFormatting sqref="N78">
    <cfRule type="cellIs" dxfId="75" priority="153" operator="notEqual">
      <formula>$K78</formula>
    </cfRule>
    <cfRule type="cellIs" dxfId="74" priority="154" operator="equal">
      <formula>$K78</formula>
    </cfRule>
  </conditionalFormatting>
  <conditionalFormatting sqref="N80">
    <cfRule type="cellIs" dxfId="73" priority="141" operator="equal">
      <formula>$K80</formula>
    </cfRule>
    <cfRule type="cellIs" dxfId="72" priority="142" operator="notEqual">
      <formula>$K80</formula>
    </cfRule>
  </conditionalFormatting>
  <conditionalFormatting sqref="N83">
    <cfRule type="cellIs" dxfId="71" priority="49" operator="equal">
      <formula>$K83</formula>
    </cfRule>
    <cfRule type="cellIs" dxfId="70" priority="50" operator="notEqual">
      <formula>$K83</formula>
    </cfRule>
  </conditionalFormatting>
  <conditionalFormatting sqref="N87">
    <cfRule type="cellIs" dxfId="69" priority="186" stopIfTrue="1" operator="equal">
      <formula>$K$87</formula>
    </cfRule>
    <cfRule type="cellIs" dxfId="68" priority="185" operator="notEqual">
      <formula>$K$87</formula>
    </cfRule>
  </conditionalFormatting>
  <conditionalFormatting sqref="N89">
    <cfRule type="cellIs" dxfId="67" priority="182" stopIfTrue="1" operator="equal">
      <formula>$K$89</formula>
    </cfRule>
    <cfRule type="cellIs" dxfId="66" priority="181" operator="notEqual">
      <formula>$K$89</formula>
    </cfRule>
  </conditionalFormatting>
  <conditionalFormatting sqref="N91">
    <cfRule type="cellIs" dxfId="65" priority="101" operator="notEqual">
      <formula>$K$87</formula>
    </cfRule>
    <cfRule type="cellIs" dxfId="64" priority="102" stopIfTrue="1" operator="equal">
      <formula>$K$87</formula>
    </cfRule>
  </conditionalFormatting>
  <conditionalFormatting sqref="N93">
    <cfRule type="cellIs" dxfId="63" priority="37" operator="equal">
      <formula>$K93</formula>
    </cfRule>
    <cfRule type="cellIs" dxfId="62" priority="38" operator="notEqual">
      <formula>$K93</formula>
    </cfRule>
  </conditionalFormatting>
  <conditionalFormatting sqref="N97">
    <cfRule type="cellIs" dxfId="61" priority="192" operator="equal">
      <formula>$K97</formula>
    </cfRule>
    <cfRule type="cellIs" dxfId="60" priority="191" operator="notEqual">
      <formula>$K$97</formula>
    </cfRule>
  </conditionalFormatting>
  <conditionalFormatting sqref="N103">
    <cfRule type="cellIs" dxfId="59" priority="89" operator="notEqual">
      <formula>$K$87</formula>
    </cfRule>
    <cfRule type="cellIs" dxfId="58" priority="90" stopIfTrue="1" operator="equal">
      <formula>$K$87</formula>
    </cfRule>
  </conditionalFormatting>
  <conditionalFormatting sqref="N105">
    <cfRule type="cellIs" dxfId="57" priority="33" operator="equal">
      <formula>$K105</formula>
    </cfRule>
    <cfRule type="cellIs" dxfId="56" priority="34" operator="notEqual">
      <formula>$K105</formula>
    </cfRule>
  </conditionalFormatting>
  <conditionalFormatting sqref="N106:N107">
    <cfRule type="cellIs" dxfId="55" priority="98" stopIfTrue="1" operator="equal">
      <formula>$K$87</formula>
    </cfRule>
    <cfRule type="cellIs" dxfId="54" priority="97" operator="notEqual">
      <formula>$K$87</formula>
    </cfRule>
  </conditionalFormatting>
  <conditionalFormatting sqref="N109">
    <cfRule type="cellIs" dxfId="53" priority="94" stopIfTrue="1" operator="equal">
      <formula>$K$87</formula>
    </cfRule>
    <cfRule type="cellIs" dxfId="52" priority="93" operator="notEqual">
      <formula>$K$87</formula>
    </cfRule>
  </conditionalFormatting>
  <conditionalFormatting sqref="N111">
    <cfRule type="cellIs" dxfId="51" priority="30" operator="notEqual">
      <formula>$K111</formula>
    </cfRule>
    <cfRule type="cellIs" dxfId="50" priority="29" operator="equal">
      <formula>$K111</formula>
    </cfRule>
  </conditionalFormatting>
  <conditionalFormatting sqref="N112:N113">
    <cfRule type="cellIs" dxfId="49" priority="85" operator="notEqual">
      <formula>$K$87</formula>
    </cfRule>
    <cfRule type="cellIs" dxfId="48" priority="86" stopIfTrue="1" operator="equal">
      <formula>$K$87</formula>
    </cfRule>
  </conditionalFormatting>
  <conditionalFormatting sqref="N115">
    <cfRule type="cellIs" dxfId="47" priority="82" stopIfTrue="1" operator="equal">
      <formula>$K$89</formula>
    </cfRule>
    <cfRule type="cellIs" dxfId="46" priority="81" operator="notEqual">
      <formula>$K$89</formula>
    </cfRule>
  </conditionalFormatting>
  <conditionalFormatting sqref="N117">
    <cfRule type="cellIs" dxfId="45" priority="2" operator="notEqual">
      <formula>$K117</formula>
    </cfRule>
    <cfRule type="cellIs" dxfId="44" priority="1" operator="equal">
      <formula>$K117</formula>
    </cfRule>
  </conditionalFormatting>
  <conditionalFormatting sqref="N118">
    <cfRule type="cellIs" dxfId="43" priority="5" operator="notEqual">
      <formula>$K$87</formula>
    </cfRule>
    <cfRule type="cellIs" dxfId="42" priority="6" stopIfTrue="1" operator="equal">
      <formula>$K$87</formula>
    </cfRule>
  </conditionalFormatting>
  <conditionalFormatting sqref="N119:N121">
    <cfRule type="cellIs" dxfId="41" priority="46" operator="notEqual">
      <formula>$K119</formula>
    </cfRule>
    <cfRule type="cellIs" dxfId="40" priority="45" operator="equal">
      <formula>$K119</formula>
    </cfRule>
  </conditionalFormatting>
  <conditionalFormatting sqref="N124:N130">
    <cfRule type="cellIs" dxfId="39" priority="138" operator="equal">
      <formula>$K124</formula>
    </cfRule>
    <cfRule type="cellIs" dxfId="38" priority="137" operator="notEqual">
      <formula>$K124</formula>
    </cfRule>
  </conditionalFormatting>
  <conditionalFormatting sqref="N132">
    <cfRule type="cellIs" dxfId="37" priority="74" operator="notEqual">
      <formula>$K132</formula>
    </cfRule>
    <cfRule type="cellIs" dxfId="36" priority="73" operator="equal">
      <formula>$K132</formula>
    </cfRule>
  </conditionalFormatting>
  <conditionalFormatting sqref="N134">
    <cfRule type="cellIs" dxfId="35" priority="133" operator="notEqual">
      <formula>$K134</formula>
    </cfRule>
    <cfRule type="cellIs" dxfId="34" priority="134" operator="equal">
      <formula>$K134</formula>
    </cfRule>
  </conditionalFormatting>
  <conditionalFormatting sqref="N138">
    <cfRule type="cellIs" dxfId="33" priority="129" operator="notEqual">
      <formula>$K138</formula>
    </cfRule>
    <cfRule type="cellIs" dxfId="32" priority="130" operator="equal">
      <formula>$K138</formula>
    </cfRule>
  </conditionalFormatting>
  <conditionalFormatting sqref="N140">
    <cfRule type="cellIs" dxfId="31" priority="110" operator="equal">
      <formula>$K140</formula>
    </cfRule>
    <cfRule type="cellIs" dxfId="30" priority="109" operator="notEqual">
      <formula>$K140</formula>
    </cfRule>
  </conditionalFormatting>
  <conditionalFormatting sqref="N142">
    <cfRule type="cellIs" dxfId="29" priority="78" operator="notEqual">
      <formula>$K142</formula>
    </cfRule>
    <cfRule type="cellIs" dxfId="28" priority="77" operator="equal">
      <formula>$K142</formula>
    </cfRule>
  </conditionalFormatting>
  <conditionalFormatting sqref="N144">
    <cfRule type="cellIs" dxfId="27" priority="126" operator="equal">
      <formula>$K144</formula>
    </cfRule>
    <cfRule type="cellIs" dxfId="26" priority="125" operator="notEqual">
      <formula>$K144</formula>
    </cfRule>
  </conditionalFormatting>
  <conditionalFormatting sqref="N146">
    <cfRule type="cellIs" dxfId="25" priority="70" operator="notEqual">
      <formula>$K146</formula>
    </cfRule>
    <cfRule type="cellIs" dxfId="24" priority="69" operator="equal">
      <formula>$K146</formula>
    </cfRule>
  </conditionalFormatting>
  <conditionalFormatting sqref="N148">
    <cfRule type="cellIs" dxfId="23" priority="65" operator="equal">
      <formula>$K148</formula>
    </cfRule>
    <cfRule type="cellIs" dxfId="22" priority="66" operator="notEqual">
      <formula>$K148</formula>
    </cfRule>
  </conditionalFormatting>
  <conditionalFormatting sqref="N158">
    <cfRule type="cellIs" dxfId="21" priority="121" operator="notEqual">
      <formula>$K158</formula>
    </cfRule>
    <cfRule type="cellIs" dxfId="20" priority="122" operator="equal">
      <formula>$K158</formula>
    </cfRule>
  </conditionalFormatting>
  <conditionalFormatting sqref="N160">
    <cfRule type="cellIs" dxfId="19" priority="25" operator="equal">
      <formula>$K160</formula>
    </cfRule>
    <cfRule type="cellIs" dxfId="18" priority="26" operator="notEqual">
      <formula>$K160</formula>
    </cfRule>
  </conditionalFormatting>
  <conditionalFormatting sqref="N162:N176">
    <cfRule type="cellIs" dxfId="17" priority="62" operator="equal">
      <formula>$K162</formula>
    </cfRule>
    <cfRule type="cellIs" dxfId="16" priority="61" operator="notEqual">
      <formula>$K162</formula>
    </cfRule>
  </conditionalFormatting>
  <conditionalFormatting sqref="N178">
    <cfRule type="cellIs" dxfId="15" priority="58" operator="equal">
      <formula>$K178</formula>
    </cfRule>
    <cfRule type="cellIs" dxfId="14" priority="57" operator="notEqual">
      <formula>$K178</formula>
    </cfRule>
  </conditionalFormatting>
  <conditionalFormatting sqref="N180">
    <cfRule type="cellIs" dxfId="13" priority="22" operator="notEqual">
      <formula>$K180</formula>
    </cfRule>
    <cfRule type="cellIs" dxfId="12" priority="21" operator="equal">
      <formula>$K180</formula>
    </cfRule>
  </conditionalFormatting>
  <conditionalFormatting sqref="N182:N187 N192:N194">
    <cfRule type="cellIs" dxfId="11" priority="117" operator="notEqual">
      <formula>$K182</formula>
    </cfRule>
    <cfRule type="cellIs" dxfId="10" priority="118" operator="equal">
      <formula>$K182</formula>
    </cfRule>
  </conditionalFormatting>
  <conditionalFormatting sqref="N188">
    <cfRule type="cellIs" dxfId="9" priority="14" operator="notEqual">
      <formula>$K188</formula>
    </cfRule>
    <cfRule type="cellIs" dxfId="8" priority="13" operator="equal">
      <formula>$K188</formula>
    </cfRule>
  </conditionalFormatting>
  <conditionalFormatting sqref="N190">
    <cfRule type="cellIs" dxfId="7" priority="17" operator="equal">
      <formula>$K190</formula>
    </cfRule>
    <cfRule type="cellIs" dxfId="6" priority="18" operator="notEqual">
      <formula>$K190</formula>
    </cfRule>
  </conditionalFormatting>
  <conditionalFormatting sqref="N196">
    <cfRule type="cellIs" dxfId="5" priority="10" operator="notEqual">
      <formula>$K196</formula>
    </cfRule>
    <cfRule type="cellIs" dxfId="4" priority="9" operator="equal">
      <formula>$K196</formula>
    </cfRule>
  </conditionalFormatting>
  <conditionalFormatting sqref="N198:N199">
    <cfRule type="cellIs" dxfId="3" priority="41" operator="equal">
      <formula>$K198</formula>
    </cfRule>
    <cfRule type="cellIs" dxfId="2" priority="42" operator="notEqual">
      <formula>$K198</formula>
    </cfRule>
  </conditionalFormatting>
  <conditionalFormatting sqref="N217">
    <cfRule type="cellIs" dxfId="1" priority="114" operator="notEqual">
      <formula>$K217</formula>
    </cfRule>
    <cfRule type="cellIs" dxfId="0" priority="113" operator="equal">
      <formula>$K217</formula>
    </cfRule>
  </conditionalFormatting>
  <dataValidations count="4">
    <dataValidation allowBlank="1" showErrorMessage="1" sqref="D150:D158 H87" xr:uid="{00000000-0002-0000-0200-000000000000}"/>
    <dataValidation allowBlank="1" showInputMessage="1" showErrorMessage="1" promptTitle="Empleo  ≥1/2 jornada." prompt="Se justificará en fase de pago. _x000a_Se contabilizara en equivalencia a tiempo completo (ETC)_x000a_La duración del contrato debe ser de al menos 1 año. Un empleo a tiempo completo de duración 6 meses, se contabiliza como 0,5 ETC._x000a_Penalización por incumplimiento." sqref="H89" xr:uid="{00000000-0002-0000-0200-000001000000}"/>
    <dataValidation allowBlank="1" showInputMessage="1" showErrorMessage="1" promptTitle="Empleo a jornada completa" prompt="Se justificará en fase de pago. _x000a_Se contabilizara en equivalencia a tiempo completo (ETC)_x000a_La duración del contrato debe ser de al menos 1 año. Un empleo a tiempo completo de duración 6 meses, se contabiliza como 0,5 ETC._x000a_Penalización por incumplimiento" sqref="H91" xr:uid="{00000000-0002-0000-0200-000002000000}"/>
    <dataValidation allowBlank="1" showInputMessage="1" showErrorMessage="1" promptTitle="Empleo a jornada completa" prompt="Sólo para Proyectos Productivos. Se deberá justificar en fase de Pago. Penalización por incumplimiento: Reducción del 30 % si no crea el empleo declarado en solicitud de ayuda" sqref="H118 H106 H112" xr:uid="{00000000-0002-0000-0200-000003000000}"/>
  </dataValidations>
  <pageMargins left="0.70866141732283472" right="0.70866141732283472" top="0.74803149606299213" bottom="0.74803149606299213" header="0.31496062992125984" footer="0.31496062992125984"/>
  <pageSetup paperSize="9" scale="39" fitToHeight="5" orientation="landscape" r:id="rId1"/>
  <rowBreaks count="5" manualBreakCount="5">
    <brk id="46" max="9" man="1"/>
    <brk id="84" max="9" man="1"/>
    <brk id="121" max="9" man="1"/>
    <brk id="149" max="9" man="1"/>
    <brk id="225" max="9" man="1"/>
  </rowBreaks>
  <extLst>
    <ext xmlns:x14="http://schemas.microsoft.com/office/spreadsheetml/2009/9/main" uri="{CCE6A557-97BC-4b89-ADB6-D9C93CAAB3DF}">
      <x14:dataValidations xmlns:xm="http://schemas.microsoft.com/office/excel/2006/main" count="31">
        <x14:dataValidation type="list" allowBlank="1" showInputMessage="1" showErrorMessage="1" promptTitle="Se considera persona joven" prompt="Si no ha cumplido 36 años" xr:uid="{00000000-0002-0000-0200-000004000000}">
          <x14:formula1>
            <xm:f>'Referencias Productivos'!$E$43:$E$44</xm:f>
          </x14:formula1>
          <xm:sqref>F16</xm:sqref>
        </x14:dataValidation>
        <x14:dataValidation type="list" allowBlank="1" showInputMessage="1" showErrorMessage="1" xr:uid="{00000000-0002-0000-0200-000005000000}">
          <x14:formula1>
            <xm:f>'Referencias Productivos'!$E$144:$E$145</xm:f>
          </x14:formula1>
          <xm:sqref>F182 F184 F186</xm:sqref>
        </x14:dataValidation>
        <x14:dataValidation type="list" allowBlank="1" showInputMessage="1" showErrorMessage="1" xr:uid="{00000000-0002-0000-0200-000006000000}">
          <x14:formula1>
            <xm:f>'Referencias Productivos'!$E$53:$E$54</xm:f>
          </x14:formula1>
          <xm:sqref>F34</xm:sqref>
        </x14:dataValidation>
        <x14:dataValidation type="list" allowBlank="1" showInputMessage="1" showErrorMessage="1" xr:uid="{00000000-0002-0000-0200-000007000000}">
          <x14:formula1>
            <xm:f>'Referencias Productivos'!$E$152:$E$153</xm:f>
          </x14:formula1>
          <xm:sqref>F194</xm:sqref>
        </x14:dataValidation>
        <x14:dataValidation type="list" allowBlank="1" showInputMessage="1" showErrorMessage="1" promptTitle="Calificación del inmueble" prompt="En solicitud de ayuda, se deberá justificar la calificación del bien inmueble sobre el que se va a actuar, sobre el certificado o documento correspondiente." xr:uid="{00000000-0002-0000-0200-000008000000}">
          <x14:formula1>
            <xm:f>'Referencias Productivos'!$E$150:$E$151</xm:f>
          </x14:formula1>
          <xm:sqref>F192</xm:sqref>
        </x14:dataValidation>
        <x14:dataValidation type="list" allowBlank="1" showInputMessage="1" showErrorMessage="1" xr:uid="{00000000-0002-0000-0200-000009000000}">
          <x14:formula1>
            <xm:f>'Referencias Productivos'!$E$142:$E$143</xm:f>
          </x14:formula1>
          <xm:sqref>F178</xm:sqref>
        </x14:dataValidation>
        <x14:dataValidation type="list" allowBlank="1" showInputMessage="1" showErrorMessage="1" xr:uid="{00000000-0002-0000-0200-00000A000000}">
          <x14:formula1>
            <xm:f>'Referencias Productivos'!$E$126:$E$127</xm:f>
          </x14:formula1>
          <xm:sqref>F162 F164 F166 F168 F170 F172 F174 F176</xm:sqref>
        </x14:dataValidation>
        <x14:dataValidation type="list" allowBlank="1" showInputMessage="1" showErrorMessage="1" xr:uid="{00000000-0002-0000-0200-00000B000000}">
          <x14:formula1>
            <xm:f>'\\Centcs01srv04\g0106013\SDR\LEADER 2023-2027\EJECUCIÓN\7119_0201_PromotoresExternos\Convocatoria 2024\01_Convocatoria\EDE\baremación final\[Baremación P 2ª Conv. ACTUALIZADO 2024_desbloq - copia.xlsx]Referencias Productivos'!#REF!</xm:f>
          </x14:formula1>
          <xm:sqref>F144 F17 F134 F136 F138 F140</xm:sqref>
        </x14:dataValidation>
        <x14:dataValidation type="list" allowBlank="1" showInputMessage="1" showErrorMessage="1" xr:uid="{00000000-0002-0000-0200-00000C000000}">
          <x14:formula1>
            <xm:f>'Referencias Productivos'!$E$124:$E$125</xm:f>
          </x14:formula1>
          <xm:sqref>F158</xm:sqref>
        </x14:dataValidation>
        <x14:dataValidation type="list" allowBlank="1" showInputMessage="1" showErrorMessage="1" xr:uid="{00000000-0002-0000-0200-00000D000000}">
          <x14:formula1>
            <xm:f>'Referencias Productivos'!$E$116:$E$117</xm:f>
          </x14:formula1>
          <xm:sqref>F150 F152:F156</xm:sqref>
        </x14:dataValidation>
        <x14:dataValidation type="list" allowBlank="1" showInputMessage="1" showErrorMessage="1" xr:uid="{00000000-0002-0000-0200-000012000000}">
          <x14:formula1>
            <xm:f>'Referencias Productivos'!$E$104:$E$105</xm:f>
          </x14:formula1>
          <xm:sqref>F130</xm:sqref>
        </x14:dataValidation>
        <x14:dataValidation type="list" allowBlank="1" showInputMessage="1" showErrorMessage="1" xr:uid="{00000000-0002-0000-0200-000013000000}">
          <x14:formula1>
            <xm:f>'Referencias Productivos'!$E$98:$E$99</xm:f>
          </x14:formula1>
          <xm:sqref>F124</xm:sqref>
        </x14:dataValidation>
        <x14:dataValidation type="list" allowBlank="1" showInputMessage="1" showErrorMessage="1" xr:uid="{00000000-0002-0000-0200-000014000000}">
          <x14:formula1>
            <xm:f>'Referencias Productivos'!$E$86:$E$88</xm:f>
          </x14:formula1>
          <xm:sqref>F115</xm:sqref>
        </x14:dataValidation>
        <x14:dataValidation type="list" allowBlank="1" showInputMessage="1" showErrorMessage="1" xr:uid="{00000000-0002-0000-0200-000015000000}">
          <x14:formula1>
            <xm:f>'Referencias Productivos'!$E$82:$E$85</xm:f>
          </x14:formula1>
          <xm:sqref>F113</xm:sqref>
        </x14:dataValidation>
        <x14:dataValidation type="list" allowBlank="1" showInputMessage="1" showErrorMessage="1" xr:uid="{00000000-0002-0000-0200-000016000000}">
          <x14:formula1>
            <xm:f>'Referencias Productivos'!$E$80:$E$81</xm:f>
          </x14:formula1>
          <xm:sqref>F109</xm:sqref>
        </x14:dataValidation>
        <x14:dataValidation type="list" allowBlank="1" showInputMessage="1" showErrorMessage="1" prompt="Adhesión o compromiso de adhesión a algún tipo de asociación u organización reconocida legalmente y relacionada con el objetivo del proyecto, o con sede en la zona y que tenga un objetivo general al que la solicitante pueda contribuir." xr:uid="{00000000-0002-0000-0200-000017000000}">
          <x14:formula1>
            <xm:f>'Referencias Productivos'!$E$78:$E$79</xm:f>
          </x14:formula1>
          <xm:sqref>F107</xm:sqref>
        </x14:dataValidation>
        <x14:dataValidation type="list" allowBlank="1" showInputMessage="1" showErrorMessage="1" prompt="Ver Tabla 5. Códigos CNAE de los sectores económicos priorizados del documento &quot;anexos. Ámbito geográfico, plan de acción y criterios de selección de Consorcio EDER&quot;" xr:uid="{00000000-0002-0000-0200-000018000000}">
          <x14:formula1>
            <xm:f>'Referencias Productivos'!$E$76:$E$77</xm:f>
          </x14:formula1>
          <xm:sqref>F103</xm:sqref>
        </x14:dataValidation>
        <x14:dataValidation type="list" allowBlank="1" showInputMessage="1" showErrorMessage="1" xr:uid="{00000000-0002-0000-0200-000019000000}">
          <x14:formula1>
            <xm:f>'Referencias Productivos'!$E$74:$E$75</xm:f>
          </x14:formula1>
          <xm:sqref>F101</xm:sqref>
        </x14:dataValidation>
        <x14:dataValidation type="list" allowBlank="1" showInputMessage="1" showErrorMessage="1" xr:uid="{00000000-0002-0000-0200-00001A000000}">
          <x14:formula1>
            <xm:f>'Referencias Productivos'!$E$72:$E$73</xm:f>
          </x14:formula1>
          <xm:sqref>F99</xm:sqref>
        </x14:dataValidation>
        <x14:dataValidation type="list" allowBlank="1" showInputMessage="1" showErrorMessage="1" prompt="Ver Tabla 5. Códigos CNAE de los sectores económicos priorizados del documento &quot;anexos. Ámbito geográfico, plan de acción y criterios de selección de Consorcio EDER&quot;" xr:uid="{00000000-0002-0000-0200-00001B000000}">
          <x14:formula1>
            <xm:f>'Referencias Productivos'!$E$70:$E$71</xm:f>
          </x14:formula1>
          <xm:sqref>F97</xm:sqref>
        </x14:dataValidation>
        <x14:dataValidation type="list" allowBlank="1" showInputMessage="1" showErrorMessage="1" promptTitle="Nueva empresa creada" prompt="Por constirución de nueva empresa/autónomo (menos de un año de antigüedad en el momento de publicación en el BON de la Convocatoria o personas físicas que adquieran el compromiso de darse de alta en el RETA en el periodo de ejecución del proyecto)" xr:uid="{00000000-0002-0000-0200-00001C000000}">
          <x14:formula1>
            <xm:f>'Referencias Productivos'!$E$68:$E$69</xm:f>
          </x14:formula1>
          <xm:sqref>F95</xm:sqref>
        </x14:dataValidation>
        <x14:dataValidation type="list" allowBlank="1" showErrorMessage="1" xr:uid="{00000000-0002-0000-0200-00001D000000}">
          <x14:formula1>
            <xm:f>'Referencias Productivos'!$E$66:$E$67</xm:f>
          </x14:formula1>
          <xm:sqref>F91</xm:sqref>
        </x14:dataValidation>
        <x14:dataValidation type="list" allowBlank="1" showInputMessage="1" showErrorMessage="1" xr:uid="{00000000-0002-0000-0200-00001E000000}">
          <x14:formula1>
            <xm:f>'Referencias Productivos'!$B$7:$B$34</xm:f>
          </x14:formula1>
          <xm:sqref>I48</xm:sqref>
        </x14:dataValidation>
        <x14:dataValidation type="list" allowBlank="1" showInputMessage="1" showErrorMessage="1" xr:uid="{00000000-0002-0000-0200-00001F000000}">
          <x14:formula1>
            <xm:f>'Referencias Productivos'!$E$57:$E$60</xm:f>
          </x14:formula1>
          <xm:sqref>F40</xm:sqref>
        </x14:dataValidation>
        <x14:dataValidation type="list" allowBlank="1" showInputMessage="1" showErrorMessage="1" xr:uid="{00000000-0002-0000-0200-000020000000}">
          <x14:formula1>
            <xm:f>'Referencias Productivos'!$E$55:$E$56</xm:f>
          </x14:formula1>
          <xm:sqref>F36</xm:sqref>
        </x14:dataValidation>
        <x14:dataValidation type="list" allowBlank="1" showInputMessage="1" showErrorMessage="1" xr:uid="{00000000-0002-0000-0200-000021000000}">
          <x14:formula1>
            <xm:f>'Referencias Productivos'!$E$51:$E$52</xm:f>
          </x14:formula1>
          <xm:sqref>F30</xm:sqref>
        </x14:dataValidation>
        <x14:dataValidation type="list" allowBlank="1" showInputMessage="1" showErrorMessage="1" xr:uid="{00000000-0002-0000-0200-000022000000}">
          <x14:formula1>
            <xm:f>'Referencias Productivos'!$E$49:$E$50</xm:f>
          </x14:formula1>
          <xm:sqref>F28</xm:sqref>
        </x14:dataValidation>
        <x14:dataValidation type="list" allowBlank="1" showInputMessage="1" showErrorMessage="1" prompt="A partir de que cumpla 46" xr:uid="{00000000-0002-0000-0200-000023000000}">
          <x14:formula1>
            <xm:f>'Referencias Productivos'!$E$47:$E$48</xm:f>
          </x14:formula1>
          <xm:sqref>F22</xm:sqref>
        </x14:dataValidation>
        <x14:dataValidation type="list" allowBlank="1" showInputMessage="1" showErrorMessage="1" prompt="A partir de que cumpla 46" xr:uid="{00000000-0002-0000-0200-000024000000}">
          <x14:formula1>
            <xm:f>'Referencias Productivos'!$E$45:$E$46</xm:f>
          </x14:formula1>
          <xm:sqref>F20</xm:sqref>
        </x14:dataValidation>
        <x14:dataValidation type="list" allowBlank="1" showInputMessage="1" showErrorMessage="1" promptTitle="Se considera persona joven " prompt="Si no ha cumplido 36 años" xr:uid="{00000000-0002-0000-0200-000026000000}">
          <x14:formula1>
            <xm:f>'Referencias Productivos'!$E$41:$E$42</xm:f>
          </x14:formula1>
          <xm:sqref>F14</xm:sqref>
        </x14:dataValidation>
        <x14:dataValidation type="list" allowBlank="1" showInputMessage="1" showErrorMessage="1" xr:uid="{00000000-0002-0000-0200-000027000000}">
          <x14:formula1>
            <xm:f>'Referencias Productivos'!$E$100:$E$101</xm:f>
          </x14:formula1>
          <xm:sqref>F126:F128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53"/>
  <sheetViews>
    <sheetView topLeftCell="A121" workbookViewId="0">
      <selection activeCell="B35" sqref="B35"/>
    </sheetView>
  </sheetViews>
  <sheetFormatPr baseColWidth="10" defaultRowHeight="15" x14ac:dyDescent="0.25"/>
  <cols>
    <col min="2" max="2" width="16.5703125" customWidth="1"/>
    <col min="3" max="3" width="24.85546875" customWidth="1"/>
    <col min="4" max="4" width="23.85546875" customWidth="1"/>
    <col min="5" max="5" width="23.7109375" customWidth="1"/>
    <col min="6" max="6" width="13.28515625" bestFit="1" customWidth="1"/>
    <col min="7" max="7" width="9.5703125" customWidth="1"/>
    <col min="8" max="8" width="6" customWidth="1"/>
    <col min="9" max="9" width="8.5703125" customWidth="1"/>
    <col min="10" max="10" width="8.140625" customWidth="1"/>
    <col min="11" max="11" width="6.5703125" customWidth="1"/>
    <col min="12" max="12" width="7.5703125" customWidth="1"/>
    <col min="13" max="14" width="7.85546875" customWidth="1"/>
    <col min="15" max="15" width="9.5703125" bestFit="1" customWidth="1"/>
    <col min="16" max="16" width="6.5703125" customWidth="1"/>
    <col min="17" max="17" width="6.42578125" customWidth="1"/>
    <col min="18" max="18" width="16.42578125" customWidth="1"/>
    <col min="19" max="19" width="8" customWidth="1"/>
    <col min="20" max="20" width="7.42578125" customWidth="1"/>
    <col min="21" max="21" width="6.85546875" customWidth="1"/>
    <col min="22" max="22" width="7.42578125" customWidth="1"/>
    <col min="23" max="23" width="7.5703125" customWidth="1"/>
    <col min="24" max="24" width="10.28515625" customWidth="1"/>
    <col min="25" max="25" width="6.5703125" customWidth="1"/>
    <col min="26" max="26" width="6.85546875" customWidth="1"/>
    <col min="27" max="27" width="8" customWidth="1"/>
    <col min="28" max="28" width="8.5703125" customWidth="1"/>
    <col min="29" max="29" width="9.5703125" customWidth="1"/>
    <col min="30" max="30" width="7.7109375" customWidth="1"/>
    <col min="31" max="31" width="9.140625" style="133" bestFit="1" customWidth="1"/>
    <col min="32" max="32" width="10.42578125" customWidth="1"/>
    <col min="33" max="33" width="7.28515625" customWidth="1"/>
    <col min="34" max="34" width="9.140625" style="134" bestFit="1" customWidth="1"/>
    <col min="35" max="36" width="8.28515625" bestFit="1" customWidth="1"/>
  </cols>
  <sheetData>
    <row r="2" spans="2:37" x14ac:dyDescent="0.25">
      <c r="B2" s="132"/>
    </row>
    <row r="3" spans="2:37" ht="15.75" thickBot="1" x14ac:dyDescent="0.3">
      <c r="D3" s="135"/>
      <c r="F3" s="135"/>
      <c r="H3" s="135"/>
      <c r="J3" s="135"/>
      <c r="L3" s="135"/>
      <c r="N3" s="135"/>
      <c r="P3" s="135"/>
      <c r="AB3" s="135"/>
    </row>
    <row r="4" spans="2:37" s="140" customFormat="1" ht="15.75" customHeight="1" thickBot="1" x14ac:dyDescent="0.3">
      <c r="B4" s="379" t="s">
        <v>171</v>
      </c>
      <c r="C4" s="357" t="s">
        <v>172</v>
      </c>
      <c r="D4" s="358"/>
      <c r="E4" s="364" t="s">
        <v>173</v>
      </c>
      <c r="F4" s="365"/>
      <c r="G4" s="357" t="s">
        <v>174</v>
      </c>
      <c r="H4" s="358"/>
      <c r="I4" s="357" t="s">
        <v>175</v>
      </c>
      <c r="J4" s="358"/>
      <c r="K4" s="364" t="s">
        <v>176</v>
      </c>
      <c r="L4" s="365"/>
      <c r="M4" s="357" t="s">
        <v>177</v>
      </c>
      <c r="N4" s="358"/>
      <c r="O4" s="357" t="s">
        <v>178</v>
      </c>
      <c r="P4" s="358"/>
      <c r="Q4" s="364" t="s">
        <v>179</v>
      </c>
      <c r="R4" s="365"/>
      <c r="S4" s="357" t="s">
        <v>180</v>
      </c>
      <c r="T4" s="358"/>
      <c r="U4" s="357" t="s">
        <v>181</v>
      </c>
      <c r="V4" s="358"/>
      <c r="W4" s="357" t="s">
        <v>182</v>
      </c>
      <c r="X4" s="358"/>
      <c r="Y4" s="136" t="s">
        <v>183</v>
      </c>
      <c r="Z4" s="357" t="s">
        <v>184</v>
      </c>
      <c r="AA4" s="358"/>
      <c r="AB4" s="357" t="s">
        <v>185</v>
      </c>
      <c r="AC4" s="358"/>
      <c r="AD4" s="359" t="s">
        <v>186</v>
      </c>
      <c r="AE4" s="360"/>
      <c r="AF4" s="137" t="s">
        <v>187</v>
      </c>
      <c r="AG4" s="361" t="s">
        <v>188</v>
      </c>
      <c r="AH4" s="138"/>
      <c r="AI4" s="139"/>
      <c r="AJ4" s="139"/>
    </row>
    <row r="5" spans="2:37" s="143" customFormat="1" ht="42" customHeight="1" thickBot="1" x14ac:dyDescent="0.3">
      <c r="B5" s="380"/>
      <c r="C5" s="357" t="s">
        <v>189</v>
      </c>
      <c r="D5" s="358"/>
      <c r="E5" s="364" t="s">
        <v>190</v>
      </c>
      <c r="F5" s="365"/>
      <c r="G5" s="357" t="s">
        <v>191</v>
      </c>
      <c r="H5" s="358"/>
      <c r="I5" s="357" t="s">
        <v>192</v>
      </c>
      <c r="J5" s="358"/>
      <c r="K5" s="364" t="s">
        <v>193</v>
      </c>
      <c r="L5" s="365"/>
      <c r="M5" s="357" t="s">
        <v>194</v>
      </c>
      <c r="N5" s="358"/>
      <c r="O5" s="357" t="s">
        <v>195</v>
      </c>
      <c r="P5" s="358"/>
      <c r="Q5" s="364" t="s">
        <v>196</v>
      </c>
      <c r="R5" s="365"/>
      <c r="S5" s="357" t="s">
        <v>197</v>
      </c>
      <c r="T5" s="358"/>
      <c r="U5" s="357" t="s">
        <v>198</v>
      </c>
      <c r="V5" s="358"/>
      <c r="W5" s="357" t="s">
        <v>199</v>
      </c>
      <c r="X5" s="358"/>
      <c r="Y5" s="366" t="s">
        <v>200</v>
      </c>
      <c r="Z5" s="357" t="s">
        <v>201</v>
      </c>
      <c r="AA5" s="358"/>
      <c r="AB5" s="357" t="s">
        <v>202</v>
      </c>
      <c r="AC5" s="358"/>
      <c r="AD5" s="359" t="s">
        <v>203</v>
      </c>
      <c r="AE5" s="360"/>
      <c r="AF5" s="366" t="s">
        <v>204</v>
      </c>
      <c r="AG5" s="362"/>
      <c r="AH5" s="141"/>
      <c r="AI5" s="141"/>
      <c r="AJ5" s="142"/>
    </row>
    <row r="6" spans="2:37" ht="189.75" thickBot="1" x14ac:dyDescent="0.3">
      <c r="B6" s="381"/>
      <c r="C6" s="144" t="s">
        <v>189</v>
      </c>
      <c r="D6" s="145" t="s">
        <v>205</v>
      </c>
      <c r="E6" s="146" t="s">
        <v>190</v>
      </c>
      <c r="F6" s="147" t="s">
        <v>206</v>
      </c>
      <c r="G6" s="148" t="s">
        <v>191</v>
      </c>
      <c r="H6" s="149" t="s">
        <v>207</v>
      </c>
      <c r="I6" s="150" t="s">
        <v>192</v>
      </c>
      <c r="J6" s="147" t="s">
        <v>208</v>
      </c>
      <c r="K6" s="145" t="s">
        <v>209</v>
      </c>
      <c r="L6" s="147" t="s">
        <v>210</v>
      </c>
      <c r="M6" s="148" t="s">
        <v>211</v>
      </c>
      <c r="N6" s="149" t="s">
        <v>212</v>
      </c>
      <c r="O6" s="150" t="s">
        <v>195</v>
      </c>
      <c r="P6" s="147" t="s">
        <v>213</v>
      </c>
      <c r="Q6" s="144" t="s">
        <v>196</v>
      </c>
      <c r="R6" s="147" t="s">
        <v>214</v>
      </c>
      <c r="S6" s="151" t="s">
        <v>215</v>
      </c>
      <c r="T6" s="147" t="s">
        <v>216</v>
      </c>
      <c r="U6" s="152" t="s">
        <v>217</v>
      </c>
      <c r="V6" s="153" t="s">
        <v>218</v>
      </c>
      <c r="W6" s="152" t="s">
        <v>219</v>
      </c>
      <c r="X6" s="153" t="s">
        <v>220</v>
      </c>
      <c r="Y6" s="367"/>
      <c r="Z6" s="144" t="s">
        <v>221</v>
      </c>
      <c r="AA6" s="147" t="s">
        <v>222</v>
      </c>
      <c r="AB6" s="145" t="s">
        <v>223</v>
      </c>
      <c r="AC6" s="147" t="s">
        <v>224</v>
      </c>
      <c r="AD6" s="152" t="s">
        <v>225</v>
      </c>
      <c r="AE6" s="153" t="s">
        <v>226</v>
      </c>
      <c r="AF6" s="367"/>
      <c r="AG6" s="363"/>
      <c r="AH6" s="154"/>
      <c r="AI6" s="154"/>
      <c r="AJ6" s="155"/>
    </row>
    <row r="7" spans="2:37" x14ac:dyDescent="0.25">
      <c r="B7" s="156" t="s">
        <v>227</v>
      </c>
      <c r="C7" s="157">
        <v>2484</v>
      </c>
      <c r="D7" s="158">
        <v>1</v>
      </c>
      <c r="E7" s="159">
        <v>0.94484594903004948</v>
      </c>
      <c r="F7" s="158">
        <v>0.75</v>
      </c>
      <c r="G7" s="158">
        <v>32.093023255813954</v>
      </c>
      <c r="H7" s="158">
        <v>0.5</v>
      </c>
      <c r="I7" s="160">
        <v>0.13083735909822866</v>
      </c>
      <c r="J7" s="158">
        <v>1</v>
      </c>
      <c r="K7" s="158">
        <v>28.5</v>
      </c>
      <c r="L7" s="158">
        <v>1.25</v>
      </c>
      <c r="M7" s="158">
        <v>103.10711365494684</v>
      </c>
      <c r="N7" s="158">
        <v>1</v>
      </c>
      <c r="O7" s="160">
        <v>0.1388888888888889</v>
      </c>
      <c r="P7" s="158">
        <v>1</v>
      </c>
      <c r="Q7" s="157">
        <v>11.76</v>
      </c>
      <c r="R7" s="158">
        <v>1.75</v>
      </c>
      <c r="S7" s="160">
        <v>0.3946348631239936</v>
      </c>
      <c r="T7" s="158">
        <v>1.25</v>
      </c>
      <c r="U7" s="160">
        <v>0.38717793880837359</v>
      </c>
      <c r="V7" s="158">
        <v>1.75</v>
      </c>
      <c r="W7" s="160">
        <v>8.307238902191931E-2</v>
      </c>
      <c r="X7" s="158">
        <v>0.5</v>
      </c>
      <c r="Y7" s="158">
        <v>11.75</v>
      </c>
      <c r="Z7" s="157" t="s">
        <v>228</v>
      </c>
      <c r="AA7" s="158">
        <v>0.25</v>
      </c>
      <c r="AB7" s="158">
        <v>15.954311633917905</v>
      </c>
      <c r="AC7" s="158">
        <v>1.5</v>
      </c>
      <c r="AD7" s="160">
        <v>0.39625322997416018</v>
      </c>
      <c r="AE7" s="158">
        <v>3.25</v>
      </c>
      <c r="AF7" s="158">
        <v>5</v>
      </c>
      <c r="AG7" s="161">
        <v>16.75</v>
      </c>
      <c r="AH7" s="154"/>
      <c r="AI7" s="154"/>
      <c r="AJ7" s="155"/>
      <c r="AK7" s="162"/>
    </row>
    <row r="8" spans="2:37" x14ac:dyDescent="0.25">
      <c r="B8" s="163" t="s">
        <v>229</v>
      </c>
      <c r="C8" s="164">
        <v>2287</v>
      </c>
      <c r="D8" s="165">
        <v>1</v>
      </c>
      <c r="E8" s="166">
        <v>0.96092436974789919</v>
      </c>
      <c r="F8" s="165">
        <v>0.75</v>
      </c>
      <c r="G8" s="165">
        <v>34.442771084337345</v>
      </c>
      <c r="H8" s="165">
        <v>0.5</v>
      </c>
      <c r="I8" s="167">
        <v>0.14516834280717097</v>
      </c>
      <c r="J8" s="165">
        <v>1</v>
      </c>
      <c r="K8" s="165">
        <v>29.2</v>
      </c>
      <c r="L8" s="165">
        <v>1.25</v>
      </c>
      <c r="M8" s="165">
        <v>105.66546762589928</v>
      </c>
      <c r="N8" s="165">
        <v>1</v>
      </c>
      <c r="O8" s="167">
        <v>0.15566243987756886</v>
      </c>
      <c r="P8" s="165">
        <v>1.5</v>
      </c>
      <c r="Q8" s="164">
        <v>9.31</v>
      </c>
      <c r="R8" s="165">
        <v>1</v>
      </c>
      <c r="S8" s="167">
        <v>0.3980355050284215</v>
      </c>
      <c r="T8" s="165">
        <v>1.25</v>
      </c>
      <c r="U8" s="167">
        <v>0.44490599038041101</v>
      </c>
      <c r="V8" s="165">
        <v>1.5</v>
      </c>
      <c r="W8" s="167">
        <v>0.13979505499670958</v>
      </c>
      <c r="X8" s="165">
        <v>1</v>
      </c>
      <c r="Y8" s="165">
        <v>11.75</v>
      </c>
      <c r="Z8" s="164" t="s">
        <v>230</v>
      </c>
      <c r="AA8" s="165">
        <v>0</v>
      </c>
      <c r="AB8" s="165">
        <v>13.406559864162986</v>
      </c>
      <c r="AC8" s="165">
        <v>1.5</v>
      </c>
      <c r="AD8" s="167">
        <v>0.48554216867469879</v>
      </c>
      <c r="AE8" s="165">
        <v>3.25</v>
      </c>
      <c r="AF8" s="165">
        <v>4.75</v>
      </c>
      <c r="AG8" s="168">
        <v>16.5</v>
      </c>
      <c r="AH8" s="154"/>
      <c r="AI8" s="154"/>
      <c r="AJ8" s="155"/>
      <c r="AK8" s="162"/>
    </row>
    <row r="9" spans="2:37" x14ac:dyDescent="0.25">
      <c r="B9" s="163" t="s">
        <v>231</v>
      </c>
      <c r="C9" s="164">
        <v>3840</v>
      </c>
      <c r="D9" s="165">
        <v>0.75</v>
      </c>
      <c r="E9" s="166">
        <v>0.99792099792099798</v>
      </c>
      <c r="F9" s="165">
        <v>0.75</v>
      </c>
      <c r="G9" s="165">
        <v>115.31531531531533</v>
      </c>
      <c r="H9" s="165">
        <v>0.25</v>
      </c>
      <c r="I9" s="167">
        <v>0.15963541666666667</v>
      </c>
      <c r="J9" s="165">
        <v>0.75</v>
      </c>
      <c r="K9" s="165">
        <v>26.2</v>
      </c>
      <c r="L9" s="165">
        <v>1.25</v>
      </c>
      <c r="M9" s="165">
        <v>102.31822971548998</v>
      </c>
      <c r="N9" s="165">
        <v>1</v>
      </c>
      <c r="O9" s="167">
        <v>0.18281249999999999</v>
      </c>
      <c r="P9" s="165">
        <v>1.5</v>
      </c>
      <c r="Q9" s="164">
        <v>7.43</v>
      </c>
      <c r="R9" s="165">
        <v>1</v>
      </c>
      <c r="S9" s="167">
        <v>0.42823320312499996</v>
      </c>
      <c r="T9" s="165">
        <v>1</v>
      </c>
      <c r="U9" s="167">
        <v>0.54010416666666672</v>
      </c>
      <c r="V9" s="165">
        <v>1.5</v>
      </c>
      <c r="W9" s="167">
        <v>0.15957853360266416</v>
      </c>
      <c r="X9" s="165">
        <v>1</v>
      </c>
      <c r="Y9" s="165">
        <v>10.75</v>
      </c>
      <c r="Z9" s="164" t="s">
        <v>230</v>
      </c>
      <c r="AA9" s="165">
        <v>0</v>
      </c>
      <c r="AB9" s="165">
        <v>34.280946355063008</v>
      </c>
      <c r="AC9" s="165">
        <v>1.5</v>
      </c>
      <c r="AD9" s="167">
        <v>0</v>
      </c>
      <c r="AE9" s="165">
        <v>2.25</v>
      </c>
      <c r="AF9" s="165">
        <v>3.75</v>
      </c>
      <c r="AG9" s="168">
        <v>14.5</v>
      </c>
      <c r="AH9" s="154"/>
      <c r="AI9" s="154"/>
      <c r="AJ9" s="155"/>
      <c r="AK9" s="162"/>
    </row>
    <row r="10" spans="2:37" x14ac:dyDescent="0.25">
      <c r="B10" s="163" t="s">
        <v>232</v>
      </c>
      <c r="C10" s="164">
        <v>221</v>
      </c>
      <c r="D10" s="165">
        <v>1.5</v>
      </c>
      <c r="E10" s="166">
        <v>1.1693121693121693</v>
      </c>
      <c r="F10" s="165">
        <v>0</v>
      </c>
      <c r="G10" s="165">
        <v>73.666666666666671</v>
      </c>
      <c r="H10" s="165">
        <v>0.25</v>
      </c>
      <c r="I10" s="167">
        <v>0.15837104072398189</v>
      </c>
      <c r="J10" s="165">
        <v>0.75</v>
      </c>
      <c r="K10" s="165">
        <v>30.3</v>
      </c>
      <c r="L10" s="165">
        <v>1.5</v>
      </c>
      <c r="M10" s="165">
        <v>121</v>
      </c>
      <c r="N10" s="165">
        <v>1</v>
      </c>
      <c r="O10" s="167">
        <v>0.10407239819004525</v>
      </c>
      <c r="P10" s="165">
        <v>1</v>
      </c>
      <c r="Q10" s="164">
        <v>13.4</v>
      </c>
      <c r="R10" s="165">
        <v>1.75</v>
      </c>
      <c r="S10" s="167">
        <v>0.3461864253393665</v>
      </c>
      <c r="T10" s="165">
        <v>1.5</v>
      </c>
      <c r="U10" s="167">
        <v>0.27714932126696834</v>
      </c>
      <c r="V10" s="165">
        <v>2</v>
      </c>
      <c r="W10" s="167">
        <v>5.7471264367816098E-2</v>
      </c>
      <c r="X10" s="165">
        <v>0.5</v>
      </c>
      <c r="Y10" s="165">
        <v>11.75</v>
      </c>
      <c r="Z10" s="164" t="s">
        <v>230</v>
      </c>
      <c r="AA10" s="165">
        <v>0</v>
      </c>
      <c r="AB10" s="165">
        <v>17.692900910465802</v>
      </c>
      <c r="AC10" s="165">
        <v>1.5</v>
      </c>
      <c r="AD10" s="167">
        <v>0</v>
      </c>
      <c r="AE10" s="165">
        <v>2.25</v>
      </c>
      <c r="AF10" s="165">
        <v>3.75</v>
      </c>
      <c r="AG10" s="168">
        <v>15.5</v>
      </c>
      <c r="AH10" s="154"/>
      <c r="AI10" s="154"/>
      <c r="AJ10" s="155"/>
      <c r="AK10" s="162"/>
    </row>
    <row r="11" spans="2:37" x14ac:dyDescent="0.25">
      <c r="B11" s="163" t="s">
        <v>233</v>
      </c>
      <c r="C11" s="164">
        <v>2195</v>
      </c>
      <c r="D11" s="165">
        <v>1</v>
      </c>
      <c r="E11" s="166">
        <v>0.92033542976939209</v>
      </c>
      <c r="F11" s="165">
        <v>0.75</v>
      </c>
      <c r="G11" s="165">
        <v>60.635359116022094</v>
      </c>
      <c r="H11" s="165">
        <v>0.25</v>
      </c>
      <c r="I11" s="167">
        <v>0.11890660592255126</v>
      </c>
      <c r="J11" s="165">
        <v>1</v>
      </c>
      <c r="K11" s="165">
        <v>32.1</v>
      </c>
      <c r="L11" s="165">
        <v>1.5</v>
      </c>
      <c r="M11" s="165">
        <v>96.157283288650589</v>
      </c>
      <c r="N11" s="165">
        <v>0.75</v>
      </c>
      <c r="O11" s="167">
        <v>0.10888382687927108</v>
      </c>
      <c r="P11" s="165">
        <v>1</v>
      </c>
      <c r="Q11" s="164">
        <v>9.5399999999999991</v>
      </c>
      <c r="R11" s="165">
        <v>1</v>
      </c>
      <c r="S11" s="167">
        <v>0.3932947608200455</v>
      </c>
      <c r="T11" s="165">
        <v>1.25</v>
      </c>
      <c r="U11" s="167">
        <v>0.38257403189066058</v>
      </c>
      <c r="V11" s="165">
        <v>1.75</v>
      </c>
      <c r="W11" s="167">
        <v>0.1533529535421484</v>
      </c>
      <c r="X11" s="165">
        <v>1</v>
      </c>
      <c r="Y11" s="165">
        <v>11.25</v>
      </c>
      <c r="Z11" s="164" t="s">
        <v>230</v>
      </c>
      <c r="AA11" s="165">
        <v>0</v>
      </c>
      <c r="AB11" s="165">
        <v>20.707634014120305</v>
      </c>
      <c r="AC11" s="165">
        <v>1.5</v>
      </c>
      <c r="AD11" s="167">
        <v>5.8839779005524853E-2</v>
      </c>
      <c r="AE11" s="165">
        <v>2.25</v>
      </c>
      <c r="AF11" s="165">
        <v>3.75</v>
      </c>
      <c r="AG11" s="168">
        <v>15</v>
      </c>
      <c r="AH11" s="154"/>
      <c r="AI11" s="154"/>
      <c r="AJ11" s="155"/>
      <c r="AK11" s="162"/>
    </row>
    <row r="12" spans="2:37" x14ac:dyDescent="0.25">
      <c r="B12" s="163" t="s">
        <v>234</v>
      </c>
      <c r="C12" s="164">
        <v>1351</v>
      </c>
      <c r="D12" s="165">
        <v>1</v>
      </c>
      <c r="E12" s="166">
        <v>0.90793010752688175</v>
      </c>
      <c r="F12" s="165">
        <v>0.75</v>
      </c>
      <c r="G12" s="165">
        <v>37.843137254901954</v>
      </c>
      <c r="H12" s="165">
        <v>0.5</v>
      </c>
      <c r="I12" s="167">
        <v>0.10954848260547742</v>
      </c>
      <c r="J12" s="165">
        <v>1</v>
      </c>
      <c r="K12" s="165">
        <v>30.7</v>
      </c>
      <c r="L12" s="165">
        <v>1.5</v>
      </c>
      <c r="M12" s="165">
        <v>111.42410015649453</v>
      </c>
      <c r="N12" s="165">
        <v>1</v>
      </c>
      <c r="O12" s="167">
        <v>0.13175425610658772</v>
      </c>
      <c r="P12" s="165">
        <v>1</v>
      </c>
      <c r="Q12" s="164">
        <v>5.49</v>
      </c>
      <c r="R12" s="165">
        <v>1</v>
      </c>
      <c r="S12" s="167">
        <v>0.44413456698741671</v>
      </c>
      <c r="T12" s="165">
        <v>1</v>
      </c>
      <c r="U12" s="167">
        <v>0.46965210954848263</v>
      </c>
      <c r="V12" s="165">
        <v>1.5</v>
      </c>
      <c r="W12" s="167">
        <v>0.17453974596831739</v>
      </c>
      <c r="X12" s="165">
        <v>1</v>
      </c>
      <c r="Y12" s="165">
        <v>11.25</v>
      </c>
      <c r="Z12" s="164" t="s">
        <v>230</v>
      </c>
      <c r="AA12" s="165">
        <v>0</v>
      </c>
      <c r="AB12" s="165">
        <v>10.178906756169836</v>
      </c>
      <c r="AC12" s="165">
        <v>1.25</v>
      </c>
      <c r="AD12" s="167">
        <v>0.45602240896358542</v>
      </c>
      <c r="AE12" s="165">
        <v>3.25</v>
      </c>
      <c r="AF12" s="165">
        <v>4.5</v>
      </c>
      <c r="AG12" s="168">
        <v>15.75</v>
      </c>
      <c r="AH12" s="154"/>
      <c r="AI12" s="154"/>
      <c r="AJ12" s="155"/>
      <c r="AK12" s="162"/>
    </row>
    <row r="13" spans="2:37" x14ac:dyDescent="0.25">
      <c r="B13" s="163" t="s">
        <v>235</v>
      </c>
      <c r="C13" s="164">
        <v>2045</v>
      </c>
      <c r="D13" s="165">
        <v>1</v>
      </c>
      <c r="E13" s="166">
        <v>0.95516113965436711</v>
      </c>
      <c r="F13" s="165">
        <v>0.75</v>
      </c>
      <c r="G13" s="165">
        <v>74.908424908424905</v>
      </c>
      <c r="H13" s="165">
        <v>0.25</v>
      </c>
      <c r="I13" s="167">
        <v>0.13789731051344745</v>
      </c>
      <c r="J13" s="165">
        <v>1</v>
      </c>
      <c r="K13" s="165">
        <v>26.9</v>
      </c>
      <c r="L13" s="165">
        <v>1.25</v>
      </c>
      <c r="M13" s="165">
        <v>108.46075433231397</v>
      </c>
      <c r="N13" s="165">
        <v>1</v>
      </c>
      <c r="O13" s="167">
        <v>0.23080684596577017</v>
      </c>
      <c r="P13" s="165">
        <v>2</v>
      </c>
      <c r="Q13" s="164">
        <v>5.48</v>
      </c>
      <c r="R13" s="165">
        <v>1</v>
      </c>
      <c r="S13" s="167">
        <v>0.43292176039119806</v>
      </c>
      <c r="T13" s="165">
        <v>1</v>
      </c>
      <c r="U13" s="167">
        <v>0.54706601466992666</v>
      </c>
      <c r="V13" s="165">
        <v>1.5</v>
      </c>
      <c r="W13" s="167">
        <v>0.21576288954541123</v>
      </c>
      <c r="X13" s="165">
        <v>1</v>
      </c>
      <c r="Y13" s="165">
        <v>11.75</v>
      </c>
      <c r="Z13" s="164" t="s">
        <v>230</v>
      </c>
      <c r="AA13" s="165">
        <v>0</v>
      </c>
      <c r="AB13" s="165">
        <v>20.328091000455355</v>
      </c>
      <c r="AC13" s="165">
        <v>1.5</v>
      </c>
      <c r="AD13" s="167">
        <v>0</v>
      </c>
      <c r="AE13" s="165">
        <v>2.25</v>
      </c>
      <c r="AF13" s="165">
        <v>3.75</v>
      </c>
      <c r="AG13" s="168">
        <v>15.5</v>
      </c>
      <c r="AH13" s="154"/>
      <c r="AI13" s="154"/>
      <c r="AJ13" s="155"/>
      <c r="AK13" s="162"/>
    </row>
    <row r="14" spans="2:37" x14ac:dyDescent="0.25">
      <c r="B14" s="163" t="s">
        <v>236</v>
      </c>
      <c r="C14" s="164">
        <v>3952</v>
      </c>
      <c r="D14" s="165">
        <v>0.75</v>
      </c>
      <c r="E14" s="166">
        <v>0.98824706176544141</v>
      </c>
      <c r="F14" s="165">
        <v>0.75</v>
      </c>
      <c r="G14" s="165">
        <v>62.630744849445321</v>
      </c>
      <c r="H14" s="165">
        <v>0.25</v>
      </c>
      <c r="I14" s="167">
        <v>0.1604251012145749</v>
      </c>
      <c r="J14" s="165">
        <v>0.75</v>
      </c>
      <c r="K14" s="165">
        <v>28.8</v>
      </c>
      <c r="L14" s="165">
        <v>1.25</v>
      </c>
      <c r="M14" s="165">
        <v>98.194583751253759</v>
      </c>
      <c r="N14" s="165">
        <v>0.75</v>
      </c>
      <c r="O14" s="167">
        <v>0.1707995951417004</v>
      </c>
      <c r="P14" s="165">
        <v>1.5</v>
      </c>
      <c r="Q14" s="164">
        <v>11.93</v>
      </c>
      <c r="R14" s="165">
        <v>1.75</v>
      </c>
      <c r="S14" s="167">
        <v>0.37331113360323886</v>
      </c>
      <c r="T14" s="165">
        <v>1.25</v>
      </c>
      <c r="U14" s="167">
        <v>0.35115131578947367</v>
      </c>
      <c r="V14" s="165">
        <v>1.75</v>
      </c>
      <c r="W14" s="167">
        <v>6.5111374719915655E-2</v>
      </c>
      <c r="X14" s="165">
        <v>0.5</v>
      </c>
      <c r="Y14" s="165">
        <v>11.25</v>
      </c>
      <c r="Z14" s="164" t="s">
        <v>230</v>
      </c>
      <c r="AA14" s="165">
        <v>0</v>
      </c>
      <c r="AB14" s="165">
        <v>16.56860564610362</v>
      </c>
      <c r="AC14" s="165">
        <v>1.5</v>
      </c>
      <c r="AD14" s="167">
        <v>3.3280507131537239E-3</v>
      </c>
      <c r="AE14" s="165">
        <v>2.25</v>
      </c>
      <c r="AF14" s="165">
        <v>3.75</v>
      </c>
      <c r="AG14" s="168">
        <v>15</v>
      </c>
      <c r="AH14" s="154"/>
      <c r="AI14" s="154"/>
      <c r="AJ14" s="155"/>
      <c r="AK14" s="162"/>
    </row>
    <row r="15" spans="2:37" x14ac:dyDescent="0.25">
      <c r="B15" s="163" t="s">
        <v>237</v>
      </c>
      <c r="C15" s="164">
        <v>4251</v>
      </c>
      <c r="D15" s="165">
        <v>0.75</v>
      </c>
      <c r="E15" s="166">
        <v>0.98722712494194143</v>
      </c>
      <c r="F15" s="165">
        <v>0.75</v>
      </c>
      <c r="G15" s="165">
        <v>231.03260869565219</v>
      </c>
      <c r="H15" s="165">
        <v>0.25</v>
      </c>
      <c r="I15" s="167">
        <v>0.19595389320159962</v>
      </c>
      <c r="J15" s="165">
        <v>0.75</v>
      </c>
      <c r="K15" s="165">
        <v>23.9</v>
      </c>
      <c r="L15" s="165">
        <v>1</v>
      </c>
      <c r="M15" s="165">
        <v>100.51886792452831</v>
      </c>
      <c r="N15" s="165">
        <v>1</v>
      </c>
      <c r="O15" s="167">
        <v>0.23829687132439425</v>
      </c>
      <c r="P15" s="165">
        <v>2</v>
      </c>
      <c r="Q15" s="164">
        <v>14.83</v>
      </c>
      <c r="R15" s="165">
        <v>1.75</v>
      </c>
      <c r="S15" s="167">
        <v>0.34747113620324627</v>
      </c>
      <c r="T15" s="165">
        <v>1.5</v>
      </c>
      <c r="U15" s="167">
        <v>0.33586215008233355</v>
      </c>
      <c r="V15" s="165">
        <v>2</v>
      </c>
      <c r="W15" s="167">
        <v>4.165853023498016E-2</v>
      </c>
      <c r="X15" s="165">
        <v>0.5</v>
      </c>
      <c r="Y15" s="165">
        <v>12.25</v>
      </c>
      <c r="Z15" s="164" t="s">
        <v>230</v>
      </c>
      <c r="AA15" s="165">
        <v>0</v>
      </c>
      <c r="AB15" s="165">
        <v>17.58449761015472</v>
      </c>
      <c r="AC15" s="165">
        <v>1.5</v>
      </c>
      <c r="AD15" s="167">
        <v>8.8586956521739132E-2</v>
      </c>
      <c r="AE15" s="165">
        <v>2.25</v>
      </c>
      <c r="AF15" s="165">
        <v>3.75</v>
      </c>
      <c r="AG15" s="168">
        <v>16</v>
      </c>
      <c r="AH15" s="154"/>
      <c r="AI15" s="154"/>
      <c r="AJ15" s="155"/>
      <c r="AK15" s="162"/>
    </row>
    <row r="16" spans="2:37" x14ac:dyDescent="0.25">
      <c r="B16" s="163" t="s">
        <v>238</v>
      </c>
      <c r="C16" s="164">
        <v>8026</v>
      </c>
      <c r="D16" s="165">
        <v>0.25</v>
      </c>
      <c r="E16" s="166">
        <v>1.0369509043927649</v>
      </c>
      <c r="F16" s="165">
        <v>0</v>
      </c>
      <c r="G16" s="165">
        <v>215.17426273458446</v>
      </c>
      <c r="H16" s="165">
        <v>0.25</v>
      </c>
      <c r="I16" s="167">
        <v>0.18352853227012211</v>
      </c>
      <c r="J16" s="165">
        <v>0.75</v>
      </c>
      <c r="K16" s="165">
        <v>22.6</v>
      </c>
      <c r="L16" s="165">
        <v>1</v>
      </c>
      <c r="M16" s="165">
        <v>105.37359263050155</v>
      </c>
      <c r="N16" s="165">
        <v>1</v>
      </c>
      <c r="O16" s="167">
        <v>0.23635684026912535</v>
      </c>
      <c r="P16" s="165">
        <v>2</v>
      </c>
      <c r="Q16" s="164">
        <v>12.95</v>
      </c>
      <c r="R16" s="165">
        <v>1.75</v>
      </c>
      <c r="S16" s="167">
        <v>0.37504928980812358</v>
      </c>
      <c r="T16" s="165">
        <v>1.25</v>
      </c>
      <c r="U16" s="167">
        <v>0.36341265885870921</v>
      </c>
      <c r="V16" s="165">
        <v>1.75</v>
      </c>
      <c r="W16" s="167">
        <v>6.3415086180268129E-2</v>
      </c>
      <c r="X16" s="165">
        <v>0.5</v>
      </c>
      <c r="Y16" s="165">
        <v>10.5</v>
      </c>
      <c r="Z16" s="164" t="s">
        <v>230</v>
      </c>
      <c r="AA16" s="165">
        <v>0</v>
      </c>
      <c r="AB16" s="165">
        <v>20.14364114713868</v>
      </c>
      <c r="AC16" s="165">
        <v>1.5</v>
      </c>
      <c r="AD16" s="167">
        <v>0</v>
      </c>
      <c r="AE16" s="165">
        <v>2.25</v>
      </c>
      <c r="AF16" s="165">
        <v>3.75</v>
      </c>
      <c r="AG16" s="168">
        <v>14.25</v>
      </c>
      <c r="AH16" s="154"/>
      <c r="AI16" s="154"/>
      <c r="AJ16" s="155"/>
      <c r="AK16" s="162"/>
    </row>
    <row r="17" spans="2:37" x14ac:dyDescent="0.25">
      <c r="B17" s="163" t="s">
        <v>239</v>
      </c>
      <c r="C17" s="164">
        <v>8100</v>
      </c>
      <c r="D17" s="165">
        <v>0.25</v>
      </c>
      <c r="E17" s="166">
        <v>1.0029717682020802</v>
      </c>
      <c r="F17" s="165">
        <v>0</v>
      </c>
      <c r="G17" s="165">
        <v>99.8766954377312</v>
      </c>
      <c r="H17" s="165">
        <v>0.25</v>
      </c>
      <c r="I17" s="167">
        <v>0.16123456790123455</v>
      </c>
      <c r="J17" s="165">
        <v>0.75</v>
      </c>
      <c r="K17" s="165">
        <v>24.1</v>
      </c>
      <c r="L17" s="165">
        <v>1</v>
      </c>
      <c r="M17" s="165">
        <v>100.99255583126552</v>
      </c>
      <c r="N17" s="165">
        <v>1</v>
      </c>
      <c r="O17" s="167">
        <v>0.23950617283950618</v>
      </c>
      <c r="P17" s="165">
        <v>2</v>
      </c>
      <c r="Q17" s="164">
        <v>13.1</v>
      </c>
      <c r="R17" s="165">
        <v>1.75</v>
      </c>
      <c r="S17" s="167">
        <v>0.37986722222222219</v>
      </c>
      <c r="T17" s="165">
        <v>1.25</v>
      </c>
      <c r="U17" s="167">
        <v>0.3527469135802469</v>
      </c>
      <c r="V17" s="165">
        <v>1.75</v>
      </c>
      <c r="W17" s="167">
        <v>4.7739477956787811E-2</v>
      </c>
      <c r="X17" s="165">
        <v>0.5</v>
      </c>
      <c r="Y17" s="165">
        <v>10.5</v>
      </c>
      <c r="Z17" s="164" t="s">
        <v>230</v>
      </c>
      <c r="AA17" s="165">
        <v>0</v>
      </c>
      <c r="AB17" s="165">
        <v>20.045335855581182</v>
      </c>
      <c r="AC17" s="165">
        <v>1.5</v>
      </c>
      <c r="AD17" s="167">
        <v>0</v>
      </c>
      <c r="AE17" s="165">
        <v>2.25</v>
      </c>
      <c r="AF17" s="165">
        <v>3.75</v>
      </c>
      <c r="AG17" s="168">
        <v>14.25</v>
      </c>
      <c r="AH17" s="154"/>
      <c r="AI17" s="154"/>
      <c r="AJ17" s="155"/>
      <c r="AK17" s="162"/>
    </row>
    <row r="18" spans="2:37" x14ac:dyDescent="0.25">
      <c r="B18" s="163" t="s">
        <v>240</v>
      </c>
      <c r="C18" s="164">
        <v>3178</v>
      </c>
      <c r="D18" s="165">
        <v>0.75</v>
      </c>
      <c r="E18" s="166">
        <v>0.93333333333333335</v>
      </c>
      <c r="F18" s="165">
        <v>0.75</v>
      </c>
      <c r="G18" s="165">
        <v>86.594005449591279</v>
      </c>
      <c r="H18" s="165">
        <v>0.25</v>
      </c>
      <c r="I18" s="167">
        <v>0.13467589679043424</v>
      </c>
      <c r="J18" s="165">
        <v>1</v>
      </c>
      <c r="K18" s="165">
        <v>30</v>
      </c>
      <c r="L18" s="165">
        <v>1.5</v>
      </c>
      <c r="M18" s="165">
        <v>105.29715762273901</v>
      </c>
      <c r="N18" s="165">
        <v>1</v>
      </c>
      <c r="O18" s="167">
        <v>0.11674008810572688</v>
      </c>
      <c r="P18" s="165">
        <v>1</v>
      </c>
      <c r="Q18" s="164">
        <v>9.11</v>
      </c>
      <c r="R18" s="165">
        <v>1</v>
      </c>
      <c r="S18" s="167">
        <v>0.41136683448709876</v>
      </c>
      <c r="T18" s="165">
        <v>1</v>
      </c>
      <c r="U18" s="167">
        <v>0.37586532410320955</v>
      </c>
      <c r="V18" s="165">
        <v>1.75</v>
      </c>
      <c r="W18" s="167">
        <v>0.13098278276629047</v>
      </c>
      <c r="X18" s="165">
        <v>1</v>
      </c>
      <c r="Y18" s="165">
        <v>11</v>
      </c>
      <c r="Z18" s="164" t="s">
        <v>230</v>
      </c>
      <c r="AA18" s="165">
        <v>0</v>
      </c>
      <c r="AB18" s="165">
        <v>22.594698055123523</v>
      </c>
      <c r="AC18" s="165">
        <v>1.5</v>
      </c>
      <c r="AD18" s="167">
        <v>2.9700272479564034E-2</v>
      </c>
      <c r="AE18" s="165">
        <v>2.25</v>
      </c>
      <c r="AF18" s="165">
        <v>3.75</v>
      </c>
      <c r="AG18" s="168">
        <v>14.75</v>
      </c>
      <c r="AH18" s="154"/>
      <c r="AI18" s="154"/>
      <c r="AJ18" s="155"/>
      <c r="AK18" s="162"/>
    </row>
    <row r="19" spans="2:37" x14ac:dyDescent="0.25">
      <c r="B19" s="163" t="s">
        <v>241</v>
      </c>
      <c r="C19" s="164">
        <v>2336</v>
      </c>
      <c r="D19" s="165">
        <v>1</v>
      </c>
      <c r="E19" s="166">
        <v>0.88150943396226411</v>
      </c>
      <c r="F19" s="165">
        <v>1</v>
      </c>
      <c r="G19" s="165">
        <v>20.31304347826087</v>
      </c>
      <c r="H19" s="165">
        <v>0.5</v>
      </c>
      <c r="I19" s="167">
        <v>0.12842465753424659</v>
      </c>
      <c r="J19" s="165">
        <v>1</v>
      </c>
      <c r="K19" s="165">
        <v>34</v>
      </c>
      <c r="L19" s="165">
        <v>1.5</v>
      </c>
      <c r="M19" s="165">
        <v>105.99647266313934</v>
      </c>
      <c r="N19" s="165">
        <v>1</v>
      </c>
      <c r="O19" s="167">
        <v>0.15368150684931506</v>
      </c>
      <c r="P19" s="165">
        <v>1.5</v>
      </c>
      <c r="Q19" s="164">
        <v>10.76</v>
      </c>
      <c r="R19" s="165">
        <v>1.75</v>
      </c>
      <c r="S19" s="167">
        <v>0.37572825342465754</v>
      </c>
      <c r="T19" s="165">
        <v>1.25</v>
      </c>
      <c r="U19" s="167">
        <v>0.41309931506849318</v>
      </c>
      <c r="V19" s="165">
        <v>1.5</v>
      </c>
      <c r="W19" s="167">
        <v>0.15333206033988925</v>
      </c>
      <c r="X19" s="165">
        <v>1</v>
      </c>
      <c r="Y19" s="165">
        <v>13</v>
      </c>
      <c r="Z19" s="164" t="s">
        <v>228</v>
      </c>
      <c r="AA19" s="165">
        <v>0.25</v>
      </c>
      <c r="AB19" s="165">
        <v>37.706298615164251</v>
      </c>
      <c r="AC19" s="165">
        <v>1.5</v>
      </c>
      <c r="AD19" s="167">
        <v>0.42913043478260871</v>
      </c>
      <c r="AE19" s="165">
        <v>3.25</v>
      </c>
      <c r="AF19" s="165">
        <v>5</v>
      </c>
      <c r="AG19" s="168">
        <v>18</v>
      </c>
      <c r="AH19" s="154"/>
      <c r="AI19" s="154"/>
      <c r="AJ19" s="155"/>
      <c r="AK19" s="162"/>
    </row>
    <row r="20" spans="2:37" x14ac:dyDescent="0.25">
      <c r="B20" s="163" t="s">
        <v>242</v>
      </c>
      <c r="C20" s="164">
        <v>2080</v>
      </c>
      <c r="D20" s="165">
        <v>1</v>
      </c>
      <c r="E20" s="166">
        <v>0.89193825042881647</v>
      </c>
      <c r="F20" s="165">
        <v>1</v>
      </c>
      <c r="G20" s="165">
        <v>48.148148148148145</v>
      </c>
      <c r="H20" s="165">
        <v>0.5</v>
      </c>
      <c r="I20" s="167">
        <v>0.16057692307692309</v>
      </c>
      <c r="J20" s="165">
        <v>0.75</v>
      </c>
      <c r="K20" s="165">
        <v>33.700000000000003</v>
      </c>
      <c r="L20" s="165">
        <v>1.5</v>
      </c>
      <c r="M20" s="165">
        <v>99.424736337488014</v>
      </c>
      <c r="N20" s="165">
        <v>0.75</v>
      </c>
      <c r="O20" s="167">
        <v>0.18990384615384615</v>
      </c>
      <c r="P20" s="165">
        <v>1.5</v>
      </c>
      <c r="Q20" s="164">
        <v>16.62</v>
      </c>
      <c r="R20" s="165">
        <v>2</v>
      </c>
      <c r="S20" s="167">
        <v>0.30518024038461539</v>
      </c>
      <c r="T20" s="165">
        <v>1.5</v>
      </c>
      <c r="U20" s="167">
        <v>0.27848557692307691</v>
      </c>
      <c r="V20" s="165">
        <v>2</v>
      </c>
      <c r="W20" s="167">
        <v>9.2034606205250599E-2</v>
      </c>
      <c r="X20" s="165">
        <v>0.5</v>
      </c>
      <c r="Y20" s="165">
        <v>13</v>
      </c>
      <c r="Z20" s="164" t="s">
        <v>228</v>
      </c>
      <c r="AA20" s="165">
        <v>0.25</v>
      </c>
      <c r="AB20" s="165">
        <v>26.824713008377564</v>
      </c>
      <c r="AC20" s="165">
        <v>1.5</v>
      </c>
      <c r="AD20" s="167">
        <v>0</v>
      </c>
      <c r="AE20" s="165">
        <v>2.25</v>
      </c>
      <c r="AF20" s="165">
        <v>4</v>
      </c>
      <c r="AG20" s="168">
        <v>17</v>
      </c>
      <c r="AH20" s="154"/>
      <c r="AI20" s="154"/>
      <c r="AJ20" s="155"/>
      <c r="AK20" s="162"/>
    </row>
    <row r="21" spans="2:37" x14ac:dyDescent="0.25">
      <c r="B21" s="163" t="s">
        <v>243</v>
      </c>
      <c r="C21" s="164">
        <v>993</v>
      </c>
      <c r="D21" s="165">
        <v>1.5</v>
      </c>
      <c r="E21" s="166">
        <v>1.0735135135135134</v>
      </c>
      <c r="F21" s="165">
        <v>0</v>
      </c>
      <c r="G21" s="165">
        <v>45.136363636363633</v>
      </c>
      <c r="H21" s="165">
        <v>0.5</v>
      </c>
      <c r="I21" s="167">
        <v>0.15609264853977844</v>
      </c>
      <c r="J21" s="165">
        <v>0.75</v>
      </c>
      <c r="K21" s="165">
        <v>23.9</v>
      </c>
      <c r="L21" s="165">
        <v>1</v>
      </c>
      <c r="M21" s="165">
        <v>99.798792756539228</v>
      </c>
      <c r="N21" s="165">
        <v>0.75</v>
      </c>
      <c r="O21" s="167">
        <v>0.13393756294058409</v>
      </c>
      <c r="P21" s="165">
        <v>1</v>
      </c>
      <c r="Q21" s="164">
        <v>6.29</v>
      </c>
      <c r="R21" s="165">
        <v>1</v>
      </c>
      <c r="S21" s="167">
        <v>0.45209566968781467</v>
      </c>
      <c r="T21" s="165">
        <v>1</v>
      </c>
      <c r="U21" s="167">
        <v>0.43403826787512589</v>
      </c>
      <c r="V21" s="165">
        <v>1.5</v>
      </c>
      <c r="W21" s="167">
        <v>0.14668265387689847</v>
      </c>
      <c r="X21" s="165">
        <v>1</v>
      </c>
      <c r="Y21" s="165">
        <v>10</v>
      </c>
      <c r="Z21" s="164" t="s">
        <v>230</v>
      </c>
      <c r="AA21" s="165">
        <v>0</v>
      </c>
      <c r="AB21" s="165">
        <v>9.2894893793277955</v>
      </c>
      <c r="AC21" s="165">
        <v>1.25</v>
      </c>
      <c r="AD21" s="167">
        <v>4.2272727272727274E-2</v>
      </c>
      <c r="AE21" s="165">
        <v>2.25</v>
      </c>
      <c r="AF21" s="165">
        <v>3.5</v>
      </c>
      <c r="AG21" s="168">
        <v>13.5</v>
      </c>
      <c r="AH21" s="154"/>
      <c r="AI21" s="154"/>
      <c r="AJ21" s="155"/>
      <c r="AK21" s="162"/>
    </row>
    <row r="22" spans="2:37" x14ac:dyDescent="0.25">
      <c r="B22" s="163" t="s">
        <v>244</v>
      </c>
      <c r="C22" s="164">
        <v>2444</v>
      </c>
      <c r="D22" s="165">
        <v>1</v>
      </c>
      <c r="E22" s="166">
        <v>0.99877400899060076</v>
      </c>
      <c r="F22" s="165">
        <v>0.75</v>
      </c>
      <c r="G22" s="165">
        <v>46.375711574952561</v>
      </c>
      <c r="H22" s="165">
        <v>0.5</v>
      </c>
      <c r="I22" s="167">
        <v>0.161620294599018</v>
      </c>
      <c r="J22" s="165">
        <v>0.75</v>
      </c>
      <c r="K22" s="165">
        <v>26.3</v>
      </c>
      <c r="L22" s="165">
        <v>1.25</v>
      </c>
      <c r="M22" s="165">
        <v>112.15277777777777</v>
      </c>
      <c r="N22" s="165">
        <v>1</v>
      </c>
      <c r="O22" s="167">
        <v>0.22176759410801963</v>
      </c>
      <c r="P22" s="165">
        <v>2</v>
      </c>
      <c r="Q22" s="164">
        <v>8.52</v>
      </c>
      <c r="R22" s="165">
        <v>1</v>
      </c>
      <c r="S22" s="167">
        <v>0.40752111292962356</v>
      </c>
      <c r="T22" s="165">
        <v>1</v>
      </c>
      <c r="U22" s="167">
        <v>0.48046235679214405</v>
      </c>
      <c r="V22" s="165">
        <v>1.5</v>
      </c>
      <c r="W22" s="167">
        <v>0.18009855348911144</v>
      </c>
      <c r="X22" s="165">
        <v>1</v>
      </c>
      <c r="Y22" s="165">
        <v>11.75</v>
      </c>
      <c r="Z22" s="164" t="s">
        <v>230</v>
      </c>
      <c r="AA22" s="165">
        <v>0</v>
      </c>
      <c r="AB22" s="165">
        <v>35.311230065014904</v>
      </c>
      <c r="AC22" s="165">
        <v>1.5</v>
      </c>
      <c r="AD22" s="167">
        <v>6.8311195445920306E-2</v>
      </c>
      <c r="AE22" s="165">
        <v>2.25</v>
      </c>
      <c r="AF22" s="165">
        <v>3.75</v>
      </c>
      <c r="AG22" s="168">
        <v>15.5</v>
      </c>
      <c r="AH22" s="154"/>
      <c r="AI22" s="154"/>
      <c r="AJ22" s="155"/>
      <c r="AK22" s="162"/>
    </row>
    <row r="23" spans="2:37" x14ac:dyDescent="0.25">
      <c r="B23" s="163" t="s">
        <v>245</v>
      </c>
      <c r="C23" s="164">
        <v>2483</v>
      </c>
      <c r="D23" s="165">
        <v>1</v>
      </c>
      <c r="E23" s="166">
        <v>0.95573518090839105</v>
      </c>
      <c r="F23" s="165">
        <v>0.75</v>
      </c>
      <c r="G23" s="165">
        <v>37.004470938897171</v>
      </c>
      <c r="H23" s="165">
        <v>0.5</v>
      </c>
      <c r="I23" s="167">
        <v>0.13934756343133306</v>
      </c>
      <c r="J23" s="165">
        <v>1</v>
      </c>
      <c r="K23" s="165">
        <v>31.4</v>
      </c>
      <c r="L23" s="165">
        <v>1.5</v>
      </c>
      <c r="M23" s="165">
        <v>100.40355125100888</v>
      </c>
      <c r="N23" s="165">
        <v>1</v>
      </c>
      <c r="O23" s="167">
        <v>0.14861055175191301</v>
      </c>
      <c r="P23" s="165">
        <v>1</v>
      </c>
      <c r="Q23" s="164">
        <v>8.33</v>
      </c>
      <c r="R23" s="165">
        <v>1</v>
      </c>
      <c r="S23" s="167">
        <v>0.40875207410390657</v>
      </c>
      <c r="T23" s="165">
        <v>1</v>
      </c>
      <c r="U23" s="167">
        <v>0.42166733789770439</v>
      </c>
      <c r="V23" s="165">
        <v>1.5</v>
      </c>
      <c r="W23" s="167">
        <v>0.13262879788639367</v>
      </c>
      <c r="X23" s="165">
        <v>1</v>
      </c>
      <c r="Y23" s="165">
        <v>11.25</v>
      </c>
      <c r="Z23" s="164" t="s">
        <v>228</v>
      </c>
      <c r="AA23" s="165">
        <v>0.25</v>
      </c>
      <c r="AB23" s="165">
        <v>13.95016275210163</v>
      </c>
      <c r="AC23" s="165">
        <v>1.5</v>
      </c>
      <c r="AD23" s="167">
        <v>0.83144560357675112</v>
      </c>
      <c r="AE23" s="165">
        <v>3.25</v>
      </c>
      <c r="AF23" s="165">
        <v>5</v>
      </c>
      <c r="AG23" s="168">
        <v>16.25</v>
      </c>
      <c r="AH23" s="154"/>
      <c r="AI23" s="154"/>
      <c r="AJ23" s="155"/>
      <c r="AK23" s="162"/>
    </row>
    <row r="24" spans="2:37" x14ac:dyDescent="0.25">
      <c r="B24" s="163" t="s">
        <v>246</v>
      </c>
      <c r="C24" s="164">
        <v>2864</v>
      </c>
      <c r="D24" s="165">
        <v>1</v>
      </c>
      <c r="E24" s="166">
        <v>1.0091613812544045</v>
      </c>
      <c r="F24" s="165">
        <v>0</v>
      </c>
      <c r="G24" s="165">
        <v>131.9815668202765</v>
      </c>
      <c r="H24" s="165">
        <v>0.25</v>
      </c>
      <c r="I24" s="167">
        <v>0.15956703910614525</v>
      </c>
      <c r="J24" s="165">
        <v>0.75</v>
      </c>
      <c r="K24" s="165">
        <v>26.6</v>
      </c>
      <c r="L24" s="165">
        <v>1.25</v>
      </c>
      <c r="M24" s="165">
        <v>99.721059972105991</v>
      </c>
      <c r="N24" s="165">
        <v>0.75</v>
      </c>
      <c r="O24" s="167">
        <v>0.20391061452513967</v>
      </c>
      <c r="P24" s="165">
        <v>2</v>
      </c>
      <c r="Q24" s="164">
        <v>9.5</v>
      </c>
      <c r="R24" s="165">
        <v>1</v>
      </c>
      <c r="S24" s="167">
        <v>0.39829839385474858</v>
      </c>
      <c r="T24" s="165">
        <v>1.25</v>
      </c>
      <c r="U24" s="167">
        <v>0.43610335195530725</v>
      </c>
      <c r="V24" s="165">
        <v>1.5</v>
      </c>
      <c r="W24" s="167">
        <v>8.5548172757475088E-2</v>
      </c>
      <c r="X24" s="165">
        <v>0.5</v>
      </c>
      <c r="Y24" s="165">
        <v>10.25</v>
      </c>
      <c r="Z24" s="164" t="s">
        <v>230</v>
      </c>
      <c r="AA24" s="165">
        <v>0</v>
      </c>
      <c r="AB24" s="165">
        <v>30.8179832102586</v>
      </c>
      <c r="AC24" s="165">
        <v>1.5</v>
      </c>
      <c r="AD24" s="167">
        <v>0.10875576036866359</v>
      </c>
      <c r="AE24" s="165">
        <v>2.75</v>
      </c>
      <c r="AF24" s="165">
        <v>4.25</v>
      </c>
      <c r="AG24" s="168">
        <v>14.5</v>
      </c>
      <c r="AH24" s="154"/>
      <c r="AI24" s="154"/>
      <c r="AJ24" s="155"/>
      <c r="AK24" s="162"/>
    </row>
    <row r="25" spans="2:37" x14ac:dyDescent="0.25">
      <c r="B25" s="163" t="s">
        <v>247</v>
      </c>
      <c r="C25" s="164">
        <v>3450</v>
      </c>
      <c r="D25" s="165">
        <v>0.75</v>
      </c>
      <c r="E25" s="166">
        <v>1.0105448154657293</v>
      </c>
      <c r="F25" s="165">
        <v>0</v>
      </c>
      <c r="G25" s="165">
        <v>121.05263157894737</v>
      </c>
      <c r="H25" s="165">
        <v>0.25</v>
      </c>
      <c r="I25" s="167">
        <v>0.1736231884057971</v>
      </c>
      <c r="J25" s="165">
        <v>0.75</v>
      </c>
      <c r="K25" s="165">
        <v>22</v>
      </c>
      <c r="L25" s="165">
        <v>1</v>
      </c>
      <c r="M25" s="165">
        <v>107.33173076923077</v>
      </c>
      <c r="N25" s="165">
        <v>1</v>
      </c>
      <c r="O25" s="167">
        <v>0.29478260869565215</v>
      </c>
      <c r="P25" s="165">
        <v>2</v>
      </c>
      <c r="Q25" s="164">
        <v>9.69</v>
      </c>
      <c r="R25" s="165">
        <v>1</v>
      </c>
      <c r="S25" s="167">
        <v>0.41230400000000006</v>
      </c>
      <c r="T25" s="165">
        <v>1</v>
      </c>
      <c r="U25" s="167">
        <v>0.5457971014492754</v>
      </c>
      <c r="V25" s="165">
        <v>1.5</v>
      </c>
      <c r="W25" s="167">
        <v>9.3852590923720614E-2</v>
      </c>
      <c r="X25" s="165">
        <v>0.5</v>
      </c>
      <c r="Y25" s="165">
        <v>9.75</v>
      </c>
      <c r="Z25" s="164" t="s">
        <v>230</v>
      </c>
      <c r="AA25" s="165">
        <v>0</v>
      </c>
      <c r="AB25" s="165">
        <v>25.565046409544216</v>
      </c>
      <c r="AC25" s="165">
        <v>1.5</v>
      </c>
      <c r="AD25" s="167">
        <v>8.2807017543859648E-2</v>
      </c>
      <c r="AE25" s="165">
        <v>2.25</v>
      </c>
      <c r="AF25" s="165">
        <v>3.75</v>
      </c>
      <c r="AG25" s="168">
        <v>13.5</v>
      </c>
      <c r="AH25" s="154"/>
      <c r="AI25" s="154"/>
      <c r="AJ25" s="155"/>
      <c r="AK25" s="162"/>
    </row>
    <row r="26" spans="2:37" x14ac:dyDescent="0.25">
      <c r="B26" s="163" t="s">
        <v>248</v>
      </c>
      <c r="C26" s="164">
        <v>1093</v>
      </c>
      <c r="D26" s="165">
        <v>1</v>
      </c>
      <c r="E26" s="166">
        <v>0.95458515283842793</v>
      </c>
      <c r="F26" s="165">
        <v>0.75</v>
      </c>
      <c r="G26" s="165">
        <v>100.27522935779817</v>
      </c>
      <c r="H26" s="165">
        <v>0.25</v>
      </c>
      <c r="I26" s="167">
        <v>0.10704483074107959</v>
      </c>
      <c r="J26" s="165">
        <v>1</v>
      </c>
      <c r="K26" s="165">
        <v>34.6</v>
      </c>
      <c r="L26" s="165">
        <v>1.5</v>
      </c>
      <c r="M26" s="165">
        <v>103.9179104477612</v>
      </c>
      <c r="N26" s="165">
        <v>1</v>
      </c>
      <c r="O26" s="167">
        <v>0.13632204940530648</v>
      </c>
      <c r="P26" s="165">
        <v>1</v>
      </c>
      <c r="Q26" s="164">
        <v>8.75</v>
      </c>
      <c r="R26" s="165">
        <v>1</v>
      </c>
      <c r="S26" s="167">
        <v>0.32736175663311984</v>
      </c>
      <c r="T26" s="165">
        <v>1.5</v>
      </c>
      <c r="U26" s="167">
        <v>0.30878316559926805</v>
      </c>
      <c r="V26" s="165">
        <v>2</v>
      </c>
      <c r="W26" s="167">
        <v>7.1349862258953164E-2</v>
      </c>
      <c r="X26" s="165">
        <v>0.5</v>
      </c>
      <c r="Y26" s="165">
        <v>11.5</v>
      </c>
      <c r="Z26" s="164" t="s">
        <v>230</v>
      </c>
      <c r="AA26" s="165">
        <v>0</v>
      </c>
      <c r="AB26" s="165">
        <v>19.17878128474468</v>
      </c>
      <c r="AC26" s="165">
        <v>1.5</v>
      </c>
      <c r="AD26" s="167">
        <v>0</v>
      </c>
      <c r="AE26" s="165">
        <v>2.25</v>
      </c>
      <c r="AF26" s="165">
        <v>3.75</v>
      </c>
      <c r="AG26" s="168">
        <v>15.25</v>
      </c>
      <c r="AH26" s="154"/>
      <c r="AI26" s="154"/>
      <c r="AJ26" s="155"/>
      <c r="AK26" s="162"/>
    </row>
    <row r="27" spans="2:37" x14ac:dyDescent="0.25">
      <c r="B27" s="163" t="s">
        <v>249</v>
      </c>
      <c r="C27" s="164">
        <v>4131</v>
      </c>
      <c r="D27" s="165">
        <v>0.75</v>
      </c>
      <c r="E27" s="166">
        <v>1.1007194244604317</v>
      </c>
      <c r="F27" s="165">
        <v>0</v>
      </c>
      <c r="G27" s="165">
        <v>308.28358208955223</v>
      </c>
      <c r="H27" s="165">
        <v>0.25</v>
      </c>
      <c r="I27" s="167">
        <v>0.17695473251028807</v>
      </c>
      <c r="J27" s="165">
        <v>0.75</v>
      </c>
      <c r="K27" s="165">
        <v>23.1</v>
      </c>
      <c r="L27" s="165">
        <v>1</v>
      </c>
      <c r="M27" s="165">
        <v>102.10371819960862</v>
      </c>
      <c r="N27" s="165">
        <v>1</v>
      </c>
      <c r="O27" s="167">
        <v>0.15855725006051805</v>
      </c>
      <c r="P27" s="165">
        <v>1.5</v>
      </c>
      <c r="Q27" s="164">
        <v>11.73</v>
      </c>
      <c r="R27" s="165">
        <v>1.75</v>
      </c>
      <c r="S27" s="167">
        <v>0.41355858145727431</v>
      </c>
      <c r="T27" s="165">
        <v>1</v>
      </c>
      <c r="U27" s="167">
        <v>0.40383684337932702</v>
      </c>
      <c r="V27" s="165">
        <v>1.5</v>
      </c>
      <c r="W27" s="167">
        <v>9.3185270546330731E-2</v>
      </c>
      <c r="X27" s="165">
        <v>0.5</v>
      </c>
      <c r="Y27" s="165">
        <v>10</v>
      </c>
      <c r="Z27" s="164" t="s">
        <v>230</v>
      </c>
      <c r="AA27" s="165">
        <v>0</v>
      </c>
      <c r="AB27" s="165">
        <v>11.58978711117846</v>
      </c>
      <c r="AC27" s="165">
        <v>1.25</v>
      </c>
      <c r="AD27" s="167">
        <v>5.9701492537313433E-3</v>
      </c>
      <c r="AE27" s="165">
        <v>2.25</v>
      </c>
      <c r="AF27" s="165">
        <v>3.5</v>
      </c>
      <c r="AG27" s="168">
        <v>13.5</v>
      </c>
      <c r="AH27" s="154"/>
      <c r="AI27" s="154"/>
      <c r="AJ27" s="155"/>
      <c r="AK27" s="162"/>
    </row>
    <row r="28" spans="2:37" x14ac:dyDescent="0.25">
      <c r="B28" s="163" t="s">
        <v>250</v>
      </c>
      <c r="C28" s="164">
        <v>5951</v>
      </c>
      <c r="D28" s="165">
        <v>0.25</v>
      </c>
      <c r="E28" s="166">
        <v>0.98104187273326737</v>
      </c>
      <c r="F28" s="165">
        <v>0.75</v>
      </c>
      <c r="G28" s="165">
        <v>67.319004524886878</v>
      </c>
      <c r="H28" s="165">
        <v>0.25</v>
      </c>
      <c r="I28" s="167">
        <v>0.16081330868761554</v>
      </c>
      <c r="J28" s="165">
        <v>0.75</v>
      </c>
      <c r="K28" s="165">
        <v>24</v>
      </c>
      <c r="L28" s="165">
        <v>1</v>
      </c>
      <c r="M28" s="165">
        <v>102.75979557069847</v>
      </c>
      <c r="N28" s="165">
        <v>1</v>
      </c>
      <c r="O28" s="167">
        <v>0.1883717022349185</v>
      </c>
      <c r="P28" s="165">
        <v>1.5</v>
      </c>
      <c r="Q28" s="164">
        <v>9.8000000000000007</v>
      </c>
      <c r="R28" s="165">
        <v>1</v>
      </c>
      <c r="S28" s="167">
        <v>0.41727383633002851</v>
      </c>
      <c r="T28" s="165">
        <v>1</v>
      </c>
      <c r="U28" s="167">
        <v>0.44055620904049742</v>
      </c>
      <c r="V28" s="165">
        <v>1.5</v>
      </c>
      <c r="W28" s="167">
        <v>7.424475166410649E-2</v>
      </c>
      <c r="X28" s="165">
        <v>0.5</v>
      </c>
      <c r="Y28" s="165">
        <v>9.5</v>
      </c>
      <c r="Z28" s="164" t="s">
        <v>230</v>
      </c>
      <c r="AA28" s="165">
        <v>0</v>
      </c>
      <c r="AB28" s="165">
        <v>35.664153583457605</v>
      </c>
      <c r="AC28" s="165">
        <v>1.5</v>
      </c>
      <c r="AD28" s="167">
        <v>0.20192307692307693</v>
      </c>
      <c r="AE28" s="165">
        <v>3.25</v>
      </c>
      <c r="AF28" s="165">
        <v>4.75</v>
      </c>
      <c r="AG28" s="168">
        <v>14.25</v>
      </c>
      <c r="AH28" s="154"/>
      <c r="AI28" s="154"/>
      <c r="AJ28" s="155"/>
      <c r="AK28" s="162"/>
    </row>
    <row r="29" spans="2:37" x14ac:dyDescent="0.25">
      <c r="B29" s="163" t="s">
        <v>251</v>
      </c>
      <c r="C29" s="164">
        <v>3738</v>
      </c>
      <c r="D29" s="165">
        <v>0.75</v>
      </c>
      <c r="E29" s="166">
        <v>1.033453137959635</v>
      </c>
      <c r="F29" s="165">
        <v>0</v>
      </c>
      <c r="G29" s="165">
        <v>128.89655172413794</v>
      </c>
      <c r="H29" s="165">
        <v>0.25</v>
      </c>
      <c r="I29" s="167">
        <v>0.15302300695559123</v>
      </c>
      <c r="J29" s="165">
        <v>0.75</v>
      </c>
      <c r="K29" s="165">
        <v>24.9</v>
      </c>
      <c r="L29" s="165">
        <v>1</v>
      </c>
      <c r="M29" s="165">
        <v>109.17739227756016</v>
      </c>
      <c r="N29" s="165">
        <v>1</v>
      </c>
      <c r="O29" s="167">
        <v>0.19636169074371321</v>
      </c>
      <c r="P29" s="165">
        <v>1.5</v>
      </c>
      <c r="Q29" s="164">
        <v>9.7200000000000006</v>
      </c>
      <c r="R29" s="165">
        <v>1</v>
      </c>
      <c r="S29" s="167">
        <v>0.41650080256821831</v>
      </c>
      <c r="T29" s="165">
        <v>1</v>
      </c>
      <c r="U29" s="167">
        <v>0.46013911182450506</v>
      </c>
      <c r="V29" s="165">
        <v>1.5</v>
      </c>
      <c r="W29" s="167">
        <v>0.18226041835576456</v>
      </c>
      <c r="X29" s="165">
        <v>1</v>
      </c>
      <c r="Y29" s="165">
        <v>9.75</v>
      </c>
      <c r="Z29" s="164" t="s">
        <v>230</v>
      </c>
      <c r="AA29" s="165">
        <v>0</v>
      </c>
      <c r="AB29" s="165">
        <v>16.043645744509973</v>
      </c>
      <c r="AC29" s="165">
        <v>1.5</v>
      </c>
      <c r="AD29" s="167">
        <v>1.3793103448275864E-2</v>
      </c>
      <c r="AE29" s="165">
        <v>2.25</v>
      </c>
      <c r="AF29" s="165">
        <v>3.75</v>
      </c>
      <c r="AG29" s="168">
        <v>13.5</v>
      </c>
      <c r="AH29" s="154"/>
      <c r="AI29" s="154"/>
      <c r="AJ29" s="155"/>
      <c r="AK29" s="162"/>
    </row>
    <row r="30" spans="2:37" x14ac:dyDescent="0.25">
      <c r="B30" s="163" t="s">
        <v>385</v>
      </c>
      <c r="C30" s="164">
        <v>6344</v>
      </c>
      <c r="D30" s="165">
        <v>0.25</v>
      </c>
      <c r="E30" s="166">
        <v>1.008</v>
      </c>
      <c r="F30" s="165">
        <v>0</v>
      </c>
      <c r="G30" s="165">
        <v>301</v>
      </c>
      <c r="H30" s="165">
        <v>0.25</v>
      </c>
      <c r="I30" s="167">
        <v>0.15509999999999999</v>
      </c>
      <c r="J30" s="165">
        <v>0.75</v>
      </c>
      <c r="K30" s="165">
        <v>24.9</v>
      </c>
      <c r="L30" s="165">
        <v>1</v>
      </c>
      <c r="M30" s="165">
        <v>97.63</v>
      </c>
      <c r="N30" s="165">
        <v>0.75</v>
      </c>
      <c r="O30" s="167">
        <v>0.14499999999999999</v>
      </c>
      <c r="P30" s="165">
        <v>1</v>
      </c>
      <c r="Q30" s="164">
        <v>10.029999999999999</v>
      </c>
      <c r="R30" s="165">
        <v>1.75</v>
      </c>
      <c r="S30" s="167">
        <v>0.44550000000000001</v>
      </c>
      <c r="T30" s="165">
        <v>1</v>
      </c>
      <c r="U30" s="167">
        <v>0.44550000000000001</v>
      </c>
      <c r="V30" s="165">
        <v>1.5</v>
      </c>
      <c r="W30" s="167">
        <v>4.1399999999999999E-2</v>
      </c>
      <c r="X30" s="165">
        <v>0.5</v>
      </c>
      <c r="Y30" s="165">
        <v>8.75</v>
      </c>
      <c r="Z30" s="164" t="s">
        <v>230</v>
      </c>
      <c r="AA30" s="165">
        <v>0</v>
      </c>
      <c r="AB30" s="165">
        <v>46.6</v>
      </c>
      <c r="AC30" s="165">
        <v>1.5</v>
      </c>
      <c r="AD30" s="167">
        <v>0</v>
      </c>
      <c r="AE30" s="165">
        <v>2.75</v>
      </c>
      <c r="AF30" s="165">
        <f>SUM(AE30+AC30)</f>
        <v>4.25</v>
      </c>
      <c r="AG30" s="168">
        <v>13</v>
      </c>
      <c r="AH30" s="154"/>
      <c r="AI30" s="154"/>
      <c r="AJ30" s="155"/>
      <c r="AK30" s="162"/>
    </row>
    <row r="31" spans="2:37" x14ac:dyDescent="0.25">
      <c r="B31" s="163" t="s">
        <v>252</v>
      </c>
      <c r="C31" s="164">
        <v>37042</v>
      </c>
      <c r="D31" s="165">
        <v>0</v>
      </c>
      <c r="E31" s="166">
        <v>1.0503005557445844</v>
      </c>
      <c r="F31" s="165">
        <v>0</v>
      </c>
      <c r="G31" s="165">
        <v>171.72925359295317</v>
      </c>
      <c r="H31" s="165">
        <v>0.25</v>
      </c>
      <c r="I31" s="167">
        <v>0.15898169645267535</v>
      </c>
      <c r="J31" s="165">
        <v>0.75</v>
      </c>
      <c r="K31" s="165">
        <v>23.8</v>
      </c>
      <c r="L31" s="165">
        <v>1</v>
      </c>
      <c r="M31" s="165">
        <v>97.757727830868618</v>
      </c>
      <c r="N31" s="165">
        <v>0.75</v>
      </c>
      <c r="O31" s="167">
        <v>0.2164030019977323</v>
      </c>
      <c r="P31" s="165">
        <v>2</v>
      </c>
      <c r="Q31" s="164">
        <v>10.84</v>
      </c>
      <c r="R31" s="165">
        <v>1.75</v>
      </c>
      <c r="S31" s="167">
        <v>0.40462408077317641</v>
      </c>
      <c r="T31" s="165">
        <v>1</v>
      </c>
      <c r="U31" s="167">
        <v>0.38878165325846337</v>
      </c>
      <c r="V31" s="165">
        <v>1.75</v>
      </c>
      <c r="W31" s="167">
        <v>3.5322769514413141E-2</v>
      </c>
      <c r="X31" s="165">
        <v>0.5</v>
      </c>
      <c r="Y31" s="165">
        <v>9.75</v>
      </c>
      <c r="Z31" s="164" t="s">
        <v>230</v>
      </c>
      <c r="AA31" s="165">
        <v>0</v>
      </c>
      <c r="AB31" s="165">
        <v>0</v>
      </c>
      <c r="AC31" s="165">
        <v>1.25</v>
      </c>
      <c r="AD31" s="167">
        <v>0.19058878071395458</v>
      </c>
      <c r="AE31" s="165">
        <v>2.75</v>
      </c>
      <c r="AF31" s="165">
        <v>4</v>
      </c>
      <c r="AG31" s="168">
        <v>13.75</v>
      </c>
      <c r="AH31" s="154"/>
      <c r="AI31" s="154"/>
      <c r="AJ31" s="155"/>
      <c r="AK31" s="162"/>
    </row>
    <row r="32" spans="2:37" x14ac:dyDescent="0.25">
      <c r="B32" s="163" t="s">
        <v>253</v>
      </c>
      <c r="C32" s="164">
        <v>132</v>
      </c>
      <c r="D32" s="165">
        <v>1.5</v>
      </c>
      <c r="E32" s="166">
        <v>1.064516129032258</v>
      </c>
      <c r="F32" s="165">
        <v>0</v>
      </c>
      <c r="G32" s="165">
        <v>34.736842105263158</v>
      </c>
      <c r="H32" s="165">
        <v>0.5</v>
      </c>
      <c r="I32" s="167">
        <v>9.8484848484848481E-2</v>
      </c>
      <c r="J32" s="165">
        <v>1</v>
      </c>
      <c r="K32" s="165">
        <v>36.4</v>
      </c>
      <c r="L32" s="165">
        <v>1.5</v>
      </c>
      <c r="M32" s="165">
        <v>78.378378378378372</v>
      </c>
      <c r="N32" s="165">
        <v>0.75</v>
      </c>
      <c r="O32" s="167">
        <v>0.25</v>
      </c>
      <c r="P32" s="165">
        <v>2</v>
      </c>
      <c r="Q32" s="164">
        <v>11.11</v>
      </c>
      <c r="R32" s="165">
        <v>1.75</v>
      </c>
      <c r="S32" s="167">
        <v>0.33770454545454542</v>
      </c>
      <c r="T32" s="165">
        <v>1.5</v>
      </c>
      <c r="U32" s="167">
        <v>0.28030303030303028</v>
      </c>
      <c r="V32" s="165">
        <v>2</v>
      </c>
      <c r="W32" s="167">
        <v>0.19121447028423774</v>
      </c>
      <c r="X32" s="165">
        <v>1</v>
      </c>
      <c r="Y32" s="165">
        <v>13.5</v>
      </c>
      <c r="Z32" s="164" t="s">
        <v>228</v>
      </c>
      <c r="AA32" s="165">
        <v>0.25</v>
      </c>
      <c r="AB32" s="165">
        <v>16.963759873546675</v>
      </c>
      <c r="AC32" s="165">
        <v>1.5</v>
      </c>
      <c r="AD32" s="167">
        <v>0</v>
      </c>
      <c r="AE32" s="165">
        <v>2.25</v>
      </c>
      <c r="AF32" s="165">
        <v>4</v>
      </c>
      <c r="AG32" s="168">
        <v>17.5</v>
      </c>
      <c r="AH32" s="154"/>
      <c r="AI32" s="154"/>
      <c r="AJ32" s="155"/>
      <c r="AK32" s="162"/>
    </row>
    <row r="33" spans="1:37" x14ac:dyDescent="0.25">
      <c r="B33" s="163" t="s">
        <v>254</v>
      </c>
      <c r="C33" s="164">
        <v>2430</v>
      </c>
      <c r="D33" s="165">
        <v>1</v>
      </c>
      <c r="E33" s="166">
        <v>0.94847775175644033</v>
      </c>
      <c r="F33" s="165">
        <v>0.75</v>
      </c>
      <c r="G33" s="165">
        <v>48.697394789579157</v>
      </c>
      <c r="H33" s="165">
        <v>0.5</v>
      </c>
      <c r="I33" s="167">
        <v>0.14115226337448561</v>
      </c>
      <c r="J33" s="165">
        <v>1</v>
      </c>
      <c r="K33" s="165">
        <v>32</v>
      </c>
      <c r="L33" s="165">
        <v>1.5</v>
      </c>
      <c r="M33" s="165">
        <v>101.99501246882794</v>
      </c>
      <c r="N33" s="165">
        <v>1</v>
      </c>
      <c r="O33" s="167">
        <v>0.16502057613168725</v>
      </c>
      <c r="P33" s="165">
        <v>1.5</v>
      </c>
      <c r="Q33" s="164">
        <v>9.01</v>
      </c>
      <c r="R33" s="165">
        <v>1</v>
      </c>
      <c r="S33" s="167">
        <v>0.39997432098765429</v>
      </c>
      <c r="T33" s="165">
        <v>1.25</v>
      </c>
      <c r="U33" s="167">
        <v>0.46141975308641975</v>
      </c>
      <c r="V33" s="165">
        <v>1.5</v>
      </c>
      <c r="W33" s="167">
        <v>0.15531914893617021</v>
      </c>
      <c r="X33" s="165">
        <v>1</v>
      </c>
      <c r="Y33" s="165">
        <v>12</v>
      </c>
      <c r="Z33" s="164" t="s">
        <v>230</v>
      </c>
      <c r="AA33" s="165">
        <v>0</v>
      </c>
      <c r="AB33" s="165">
        <v>16.315833600111468</v>
      </c>
      <c r="AC33" s="165">
        <v>1.5</v>
      </c>
      <c r="AD33" s="167">
        <v>0.27515030060120244</v>
      </c>
      <c r="AE33" s="165">
        <v>3.25</v>
      </c>
      <c r="AF33" s="165">
        <v>4.75</v>
      </c>
      <c r="AG33" s="168">
        <v>16.75</v>
      </c>
      <c r="AH33" s="154"/>
      <c r="AI33" s="154"/>
      <c r="AJ33" s="155"/>
      <c r="AK33" s="162"/>
    </row>
    <row r="34" spans="1:37" ht="15.75" thickBot="1" x14ac:dyDescent="0.3">
      <c r="B34" s="169" t="s">
        <v>255</v>
      </c>
      <c r="C34" s="170">
        <v>2883</v>
      </c>
      <c r="D34" s="171">
        <v>1</v>
      </c>
      <c r="E34" s="172">
        <v>0.96196196196196193</v>
      </c>
      <c r="F34" s="171">
        <v>0.75</v>
      </c>
      <c r="G34" s="171">
        <v>61.602564102564109</v>
      </c>
      <c r="H34" s="171">
        <v>0.25</v>
      </c>
      <c r="I34" s="173">
        <v>0.16614637530350329</v>
      </c>
      <c r="J34" s="171">
        <v>0.75</v>
      </c>
      <c r="K34" s="171">
        <v>25.6</v>
      </c>
      <c r="L34" s="171">
        <v>1.25</v>
      </c>
      <c r="M34" s="171">
        <v>102.17391304347827</v>
      </c>
      <c r="N34" s="171">
        <v>1</v>
      </c>
      <c r="O34" s="173">
        <v>0.25563648976760317</v>
      </c>
      <c r="P34" s="171">
        <v>2</v>
      </c>
      <c r="Q34" s="170">
        <v>10.050000000000001</v>
      </c>
      <c r="R34" s="171">
        <v>1.75</v>
      </c>
      <c r="S34" s="173">
        <v>0.40657648283038506</v>
      </c>
      <c r="T34" s="171">
        <v>1</v>
      </c>
      <c r="U34" s="173">
        <v>0.51829691293791191</v>
      </c>
      <c r="V34" s="171">
        <v>1.5</v>
      </c>
      <c r="W34" s="173">
        <v>0.14284711990458152</v>
      </c>
      <c r="X34" s="171">
        <v>1</v>
      </c>
      <c r="Y34" s="171">
        <v>12.25</v>
      </c>
      <c r="Z34" s="170" t="s">
        <v>230</v>
      </c>
      <c r="AA34" s="171">
        <v>0</v>
      </c>
      <c r="AB34" s="171">
        <v>26.441012261874555</v>
      </c>
      <c r="AC34" s="171">
        <v>1.5</v>
      </c>
      <c r="AD34" s="173">
        <v>6.623931623931624E-2</v>
      </c>
      <c r="AE34" s="171">
        <v>2.25</v>
      </c>
      <c r="AF34" s="171">
        <v>3.75</v>
      </c>
      <c r="AG34" s="174">
        <v>16</v>
      </c>
      <c r="AH34" s="154"/>
      <c r="AI34" s="154"/>
      <c r="AJ34" s="155"/>
      <c r="AK34" s="162"/>
    </row>
    <row r="35" spans="1:37" x14ac:dyDescent="0.25">
      <c r="B35" s="175" t="s">
        <v>61</v>
      </c>
      <c r="AF35" s="162"/>
      <c r="AG35" s="162">
        <f>MROUND(AH35,0.25)</f>
        <v>15.25</v>
      </c>
      <c r="AH35" s="154">
        <f>AVERAGE(AG7:AG34)</f>
        <v>15.196428571428571</v>
      </c>
    </row>
    <row r="36" spans="1:37" x14ac:dyDescent="0.25">
      <c r="B36">
        <v>1</v>
      </c>
      <c r="C36" s="176">
        <v>2</v>
      </c>
      <c r="D36" s="177">
        <v>3</v>
      </c>
      <c r="E36">
        <v>4</v>
      </c>
      <c r="F36" s="178">
        <v>5</v>
      </c>
      <c r="G36" s="179">
        <v>6</v>
      </c>
      <c r="H36">
        <v>7</v>
      </c>
      <c r="I36" s="176">
        <v>8</v>
      </c>
      <c r="J36" s="179">
        <v>9</v>
      </c>
      <c r="K36">
        <v>10</v>
      </c>
      <c r="L36" s="176">
        <v>11</v>
      </c>
      <c r="M36" s="179">
        <v>12</v>
      </c>
      <c r="N36">
        <v>13</v>
      </c>
      <c r="O36" s="176">
        <v>14</v>
      </c>
      <c r="P36" s="179">
        <v>15</v>
      </c>
      <c r="Q36">
        <v>16</v>
      </c>
      <c r="R36" s="176">
        <v>17</v>
      </c>
      <c r="S36" s="179">
        <v>18</v>
      </c>
      <c r="T36">
        <v>19</v>
      </c>
      <c r="U36" s="176">
        <v>20</v>
      </c>
      <c r="V36" s="179">
        <v>21</v>
      </c>
      <c r="W36">
        <v>22</v>
      </c>
      <c r="X36" s="176">
        <v>23</v>
      </c>
      <c r="Y36" s="179">
        <v>24</v>
      </c>
      <c r="Z36">
        <v>25</v>
      </c>
      <c r="AA36" s="176">
        <v>26</v>
      </c>
      <c r="AB36" s="179">
        <v>27</v>
      </c>
      <c r="AC36">
        <v>28</v>
      </c>
      <c r="AD36" s="176">
        <v>29</v>
      </c>
      <c r="AE36" s="179">
        <v>30</v>
      </c>
      <c r="AF36">
        <v>31</v>
      </c>
      <c r="AG36" s="176">
        <v>32</v>
      </c>
    </row>
    <row r="38" spans="1:37" ht="24" customHeight="1" x14ac:dyDescent="0.25">
      <c r="A38" s="368" t="s">
        <v>256</v>
      </c>
      <c r="B38" s="369"/>
      <c r="C38" s="369"/>
      <c r="D38" s="369"/>
      <c r="E38" s="369"/>
      <c r="F38" s="369"/>
      <c r="G38" s="369"/>
      <c r="H38" s="369"/>
      <c r="I38" s="369"/>
      <c r="J38" s="369"/>
      <c r="K38" s="369"/>
      <c r="L38" s="369"/>
      <c r="M38" s="369"/>
      <c r="N38" s="369"/>
      <c r="O38" s="369"/>
      <c r="P38" s="369"/>
      <c r="Q38" s="369"/>
      <c r="R38" s="369"/>
      <c r="S38" s="369"/>
      <c r="T38" s="369"/>
      <c r="U38" s="369"/>
      <c r="V38" s="369"/>
      <c r="W38" s="369"/>
      <c r="X38" s="369"/>
    </row>
    <row r="39" spans="1:37" ht="15.75" thickBot="1" x14ac:dyDescent="0.3"/>
    <row r="40" spans="1:37" ht="15.75" thickBot="1" x14ac:dyDescent="0.3">
      <c r="B40" s="180" t="s">
        <v>24</v>
      </c>
      <c r="C40" s="181" t="s">
        <v>257</v>
      </c>
      <c r="D40" s="181" t="s">
        <v>26</v>
      </c>
      <c r="E40" s="181" t="s">
        <v>258</v>
      </c>
      <c r="F40" s="182" t="s">
        <v>259</v>
      </c>
      <c r="AE40" s="183"/>
      <c r="AF40" s="143"/>
    </row>
    <row r="41" spans="1:37" ht="30" customHeight="1" x14ac:dyDescent="0.25">
      <c r="B41" s="370" t="s">
        <v>260</v>
      </c>
      <c r="C41" s="373" t="s">
        <v>261</v>
      </c>
      <c r="D41" s="375" t="s">
        <v>262</v>
      </c>
      <c r="E41" s="264" t="s">
        <v>37</v>
      </c>
      <c r="F41" s="184">
        <v>2</v>
      </c>
      <c r="AE41" s="183"/>
    </row>
    <row r="42" spans="1:37" ht="30" customHeight="1" x14ac:dyDescent="0.25">
      <c r="B42" s="371"/>
      <c r="C42" s="374"/>
      <c r="D42" s="376"/>
      <c r="E42" s="265" t="s">
        <v>132</v>
      </c>
      <c r="F42" s="185">
        <v>0</v>
      </c>
      <c r="AE42" s="183"/>
    </row>
    <row r="43" spans="1:37" ht="30" customHeight="1" x14ac:dyDescent="0.25">
      <c r="B43" s="371"/>
      <c r="C43" s="374"/>
      <c r="D43" s="377" t="s">
        <v>263</v>
      </c>
      <c r="E43" s="265" t="s">
        <v>37</v>
      </c>
      <c r="F43" s="185">
        <v>2</v>
      </c>
      <c r="AE43" s="183"/>
    </row>
    <row r="44" spans="1:37" ht="30" customHeight="1" x14ac:dyDescent="0.25">
      <c r="B44" s="371"/>
      <c r="C44" s="374"/>
      <c r="D44" s="376"/>
      <c r="E44" s="265" t="s">
        <v>132</v>
      </c>
      <c r="F44" s="185">
        <v>0</v>
      </c>
      <c r="AE44" s="183"/>
    </row>
    <row r="45" spans="1:37" ht="30" customHeight="1" x14ac:dyDescent="0.25">
      <c r="B45" s="371"/>
      <c r="C45" s="374" t="s">
        <v>264</v>
      </c>
      <c r="D45" s="377" t="s">
        <v>265</v>
      </c>
      <c r="E45" s="265" t="s">
        <v>37</v>
      </c>
      <c r="F45" s="185">
        <v>2</v>
      </c>
      <c r="AE45" s="183"/>
      <c r="AF45" s="186"/>
    </row>
    <row r="46" spans="1:37" ht="30" customHeight="1" x14ac:dyDescent="0.25">
      <c r="B46" s="371"/>
      <c r="C46" s="374"/>
      <c r="D46" s="376"/>
      <c r="E46" s="265" t="s">
        <v>132</v>
      </c>
      <c r="F46" s="185">
        <v>0</v>
      </c>
      <c r="AE46" s="183"/>
      <c r="AF46" s="186"/>
    </row>
    <row r="47" spans="1:37" ht="30" customHeight="1" x14ac:dyDescent="0.25">
      <c r="B47" s="371"/>
      <c r="C47" s="374"/>
      <c r="D47" s="377" t="s">
        <v>266</v>
      </c>
      <c r="E47" s="265" t="s">
        <v>37</v>
      </c>
      <c r="F47" s="185">
        <v>2</v>
      </c>
      <c r="AE47" s="183"/>
      <c r="AF47" s="186"/>
    </row>
    <row r="48" spans="1:37" ht="30" customHeight="1" thickBot="1" x14ac:dyDescent="0.3">
      <c r="B48" s="372"/>
      <c r="C48" s="378"/>
      <c r="D48" s="321"/>
      <c r="E48" s="267" t="s">
        <v>132</v>
      </c>
      <c r="F48" s="187">
        <v>0</v>
      </c>
      <c r="AE48" s="183"/>
      <c r="AF48" s="186"/>
    </row>
    <row r="49" spans="2:32" ht="30" customHeight="1" x14ac:dyDescent="0.25">
      <c r="B49" s="382" t="s">
        <v>267</v>
      </c>
      <c r="C49" s="386" t="s">
        <v>268</v>
      </c>
      <c r="D49" s="375" t="s">
        <v>269</v>
      </c>
      <c r="E49" s="264" t="s">
        <v>37</v>
      </c>
      <c r="F49" s="184">
        <v>4</v>
      </c>
      <c r="AE49" s="183"/>
      <c r="AF49" s="186"/>
    </row>
    <row r="50" spans="2:32" ht="30" customHeight="1" x14ac:dyDescent="0.25">
      <c r="B50" s="383"/>
      <c r="C50" s="387"/>
      <c r="D50" s="376"/>
      <c r="E50" s="265" t="s">
        <v>132</v>
      </c>
      <c r="F50" s="185">
        <v>0</v>
      </c>
      <c r="AE50" s="183"/>
      <c r="AF50" s="186"/>
    </row>
    <row r="51" spans="2:32" ht="30" customHeight="1" x14ac:dyDescent="0.25">
      <c r="B51" s="383"/>
      <c r="C51" s="387"/>
      <c r="D51" s="377" t="s">
        <v>270</v>
      </c>
      <c r="E51" s="265" t="s">
        <v>37</v>
      </c>
      <c r="F51" s="185">
        <v>4</v>
      </c>
      <c r="AE51" s="183"/>
      <c r="AF51" s="186"/>
    </row>
    <row r="52" spans="2:32" ht="30" customHeight="1" thickBot="1" x14ac:dyDescent="0.3">
      <c r="B52" s="385"/>
      <c r="C52" s="388"/>
      <c r="D52" s="321"/>
      <c r="E52" s="267" t="s">
        <v>132</v>
      </c>
      <c r="F52" s="187">
        <v>0</v>
      </c>
    </row>
    <row r="53" spans="2:32" ht="15" customHeight="1" x14ac:dyDescent="0.25">
      <c r="B53" s="382" t="s">
        <v>271</v>
      </c>
      <c r="C53" s="373" t="s">
        <v>272</v>
      </c>
      <c r="D53" s="375" t="s">
        <v>273</v>
      </c>
      <c r="E53" s="264" t="s">
        <v>37</v>
      </c>
      <c r="F53" s="184">
        <v>4</v>
      </c>
    </row>
    <row r="54" spans="2:32" x14ac:dyDescent="0.25">
      <c r="B54" s="383"/>
      <c r="C54" s="374"/>
      <c r="D54" s="376"/>
      <c r="E54" s="265" t="s">
        <v>132</v>
      </c>
      <c r="F54" s="185">
        <v>0</v>
      </c>
    </row>
    <row r="55" spans="2:32" x14ac:dyDescent="0.25">
      <c r="B55" s="384"/>
      <c r="C55" s="377"/>
      <c r="D55" s="377" t="s">
        <v>274</v>
      </c>
      <c r="E55" s="268" t="s">
        <v>37</v>
      </c>
      <c r="F55" s="188">
        <v>4</v>
      </c>
    </row>
    <row r="56" spans="2:32" ht="15.75" thickBot="1" x14ac:dyDescent="0.3">
      <c r="B56" s="385"/>
      <c r="C56" s="378"/>
      <c r="D56" s="321"/>
      <c r="E56" s="265" t="s">
        <v>132</v>
      </c>
      <c r="F56" s="185">
        <v>0</v>
      </c>
    </row>
    <row r="57" spans="2:32" x14ac:dyDescent="0.25">
      <c r="B57" s="382" t="s">
        <v>275</v>
      </c>
      <c r="C57" s="373" t="s">
        <v>276</v>
      </c>
      <c r="D57" s="386" t="s">
        <v>277</v>
      </c>
      <c r="E57" s="264" t="s">
        <v>56</v>
      </c>
      <c r="F57" s="184">
        <v>0</v>
      </c>
    </row>
    <row r="58" spans="2:32" x14ac:dyDescent="0.25">
      <c r="B58" s="383"/>
      <c r="C58" s="374"/>
      <c r="D58" s="387"/>
      <c r="E58" s="265" t="s">
        <v>278</v>
      </c>
      <c r="F58" s="185">
        <v>1</v>
      </c>
    </row>
    <row r="59" spans="2:32" x14ac:dyDescent="0.25">
      <c r="B59" s="383"/>
      <c r="C59" s="374"/>
      <c r="D59" s="387"/>
      <c r="E59" s="265" t="s">
        <v>279</v>
      </c>
      <c r="F59" s="185">
        <v>2</v>
      </c>
    </row>
    <row r="60" spans="2:32" ht="15.75" thickBot="1" x14ac:dyDescent="0.3">
      <c r="B60" s="385"/>
      <c r="C60" s="378"/>
      <c r="D60" s="388"/>
      <c r="E60" s="267" t="s">
        <v>280</v>
      </c>
      <c r="F60" s="187">
        <v>3</v>
      </c>
    </row>
    <row r="62" spans="2:32" ht="15.75" thickBot="1" x14ac:dyDescent="0.3"/>
    <row r="63" spans="2:32" ht="15.75" thickBot="1" x14ac:dyDescent="0.3">
      <c r="B63" s="189" t="s">
        <v>24</v>
      </c>
      <c r="C63" s="190" t="s">
        <v>257</v>
      </c>
      <c r="D63" s="190" t="s">
        <v>26</v>
      </c>
      <c r="E63" s="190" t="s">
        <v>258</v>
      </c>
      <c r="F63" s="191" t="s">
        <v>259</v>
      </c>
    </row>
    <row r="64" spans="2:32" x14ac:dyDescent="0.25">
      <c r="B64" s="370" t="s">
        <v>281</v>
      </c>
      <c r="C64" s="389" t="s">
        <v>98</v>
      </c>
      <c r="D64" s="389" t="s">
        <v>99</v>
      </c>
      <c r="E64" s="192" t="s">
        <v>282</v>
      </c>
      <c r="F64" s="184">
        <v>6</v>
      </c>
    </row>
    <row r="65" spans="2:6" x14ac:dyDescent="0.25">
      <c r="B65" s="371"/>
      <c r="C65" s="390"/>
      <c r="D65" s="390"/>
      <c r="E65" s="164" t="s">
        <v>283</v>
      </c>
      <c r="F65" s="185">
        <v>3</v>
      </c>
    </row>
    <row r="66" spans="2:6" x14ac:dyDescent="0.25">
      <c r="B66" s="371"/>
      <c r="C66" s="390" t="s">
        <v>284</v>
      </c>
      <c r="D66" s="390" t="s">
        <v>285</v>
      </c>
      <c r="E66" s="265" t="s">
        <v>37</v>
      </c>
      <c r="F66" s="185">
        <v>3</v>
      </c>
    </row>
    <row r="67" spans="2:6" ht="15.75" thickBot="1" x14ac:dyDescent="0.3">
      <c r="B67" s="371"/>
      <c r="C67" s="391"/>
      <c r="D67" s="391"/>
      <c r="E67" s="266" t="s">
        <v>132</v>
      </c>
      <c r="F67" s="193">
        <v>0</v>
      </c>
    </row>
    <row r="68" spans="2:6" x14ac:dyDescent="0.25">
      <c r="B68" s="392" t="s">
        <v>286</v>
      </c>
      <c r="C68" s="389" t="s">
        <v>106</v>
      </c>
      <c r="D68" s="389" t="s">
        <v>107</v>
      </c>
      <c r="E68" s="192" t="s">
        <v>37</v>
      </c>
      <c r="F68" s="184">
        <v>4</v>
      </c>
    </row>
    <row r="69" spans="2:6" x14ac:dyDescent="0.25">
      <c r="B69" s="393"/>
      <c r="C69" s="390"/>
      <c r="D69" s="390"/>
      <c r="E69" s="164" t="s">
        <v>132</v>
      </c>
      <c r="F69" s="185">
        <v>0</v>
      </c>
    </row>
    <row r="70" spans="2:6" x14ac:dyDescent="0.25">
      <c r="B70" s="393"/>
      <c r="C70" s="390"/>
      <c r="D70" s="390" t="s">
        <v>287</v>
      </c>
      <c r="E70" s="164" t="s">
        <v>37</v>
      </c>
      <c r="F70" s="185">
        <v>1</v>
      </c>
    </row>
    <row r="71" spans="2:6" x14ac:dyDescent="0.25">
      <c r="B71" s="393"/>
      <c r="C71" s="390"/>
      <c r="D71" s="390"/>
      <c r="E71" s="164" t="s">
        <v>132</v>
      </c>
      <c r="F71" s="185">
        <v>0</v>
      </c>
    </row>
    <row r="72" spans="2:6" x14ac:dyDescent="0.25">
      <c r="B72" s="393"/>
      <c r="C72" s="390" t="s">
        <v>109</v>
      </c>
      <c r="D72" s="390" t="s">
        <v>288</v>
      </c>
      <c r="E72" s="164" t="s">
        <v>37</v>
      </c>
      <c r="F72" s="185">
        <v>2</v>
      </c>
    </row>
    <row r="73" spans="2:6" x14ac:dyDescent="0.25">
      <c r="B73" s="393"/>
      <c r="C73" s="390"/>
      <c r="D73" s="390"/>
      <c r="E73" s="164" t="s">
        <v>132</v>
      </c>
      <c r="F73" s="185">
        <v>0</v>
      </c>
    </row>
    <row r="74" spans="2:6" x14ac:dyDescent="0.25">
      <c r="B74" s="393"/>
      <c r="C74" s="390"/>
      <c r="D74" s="390" t="s">
        <v>289</v>
      </c>
      <c r="E74" s="164" t="s">
        <v>37</v>
      </c>
      <c r="F74" s="185">
        <v>2</v>
      </c>
    </row>
    <row r="75" spans="2:6" x14ac:dyDescent="0.25">
      <c r="B75" s="393"/>
      <c r="C75" s="390"/>
      <c r="D75" s="390"/>
      <c r="E75" s="164" t="s">
        <v>132</v>
      </c>
      <c r="F75" s="185">
        <v>0</v>
      </c>
    </row>
    <row r="76" spans="2:6" x14ac:dyDescent="0.25">
      <c r="B76" s="393"/>
      <c r="C76" s="390"/>
      <c r="D76" s="390" t="s">
        <v>287</v>
      </c>
      <c r="E76" s="164" t="s">
        <v>37</v>
      </c>
      <c r="F76" s="185">
        <v>1</v>
      </c>
    </row>
    <row r="77" spans="2:6" ht="15.75" thickBot="1" x14ac:dyDescent="0.3">
      <c r="B77" s="394"/>
      <c r="C77" s="395"/>
      <c r="D77" s="395"/>
      <c r="E77" s="170" t="s">
        <v>132</v>
      </c>
      <c r="F77" s="187">
        <v>0</v>
      </c>
    </row>
    <row r="78" spans="2:6" x14ac:dyDescent="0.25">
      <c r="B78" s="370" t="s">
        <v>290</v>
      </c>
      <c r="C78" s="389" t="s">
        <v>291</v>
      </c>
      <c r="D78" s="386" t="s">
        <v>292</v>
      </c>
      <c r="E78" s="192" t="s">
        <v>37</v>
      </c>
      <c r="F78" s="184">
        <v>2</v>
      </c>
    </row>
    <row r="79" spans="2:6" x14ac:dyDescent="0.25">
      <c r="B79" s="371"/>
      <c r="C79" s="390"/>
      <c r="D79" s="387"/>
      <c r="E79" s="164" t="s">
        <v>132</v>
      </c>
      <c r="F79" s="185">
        <v>0</v>
      </c>
    </row>
    <row r="80" spans="2:6" x14ac:dyDescent="0.25">
      <c r="B80" s="371"/>
      <c r="C80" s="390" t="s">
        <v>293</v>
      </c>
      <c r="D80" s="387" t="s">
        <v>294</v>
      </c>
      <c r="E80" s="164" t="s">
        <v>37</v>
      </c>
      <c r="F80" s="185">
        <v>3</v>
      </c>
    </row>
    <row r="81" spans="2:6" ht="42.75" customHeight="1" thickBot="1" x14ac:dyDescent="0.3">
      <c r="B81" s="372"/>
      <c r="C81" s="395"/>
      <c r="D81" s="388"/>
      <c r="E81" s="170" t="s">
        <v>132</v>
      </c>
      <c r="F81" s="187">
        <v>0</v>
      </c>
    </row>
    <row r="82" spans="2:6" ht="15" customHeight="1" x14ac:dyDescent="0.25">
      <c r="B82" s="382" t="s">
        <v>295</v>
      </c>
      <c r="C82" s="386" t="s">
        <v>296</v>
      </c>
      <c r="D82" s="386" t="s">
        <v>297</v>
      </c>
      <c r="E82" s="192" t="s">
        <v>298</v>
      </c>
      <c r="F82" s="184">
        <v>0</v>
      </c>
    </row>
    <row r="83" spans="2:6" ht="15" customHeight="1" x14ac:dyDescent="0.25">
      <c r="B83" s="396"/>
      <c r="C83" s="397"/>
      <c r="D83" s="397"/>
      <c r="E83" s="157" t="s">
        <v>299</v>
      </c>
      <c r="F83" s="188">
        <v>1</v>
      </c>
    </row>
    <row r="84" spans="2:6" ht="15" customHeight="1" x14ac:dyDescent="0.25">
      <c r="B84" s="396"/>
      <c r="C84" s="397"/>
      <c r="D84" s="397"/>
      <c r="E84" s="157" t="s">
        <v>300</v>
      </c>
      <c r="F84" s="188">
        <v>1</v>
      </c>
    </row>
    <row r="85" spans="2:6" x14ac:dyDescent="0.25">
      <c r="B85" s="383"/>
      <c r="C85" s="387"/>
      <c r="D85" s="387"/>
      <c r="E85" s="164" t="s">
        <v>118</v>
      </c>
      <c r="F85" s="185">
        <v>3</v>
      </c>
    </row>
    <row r="86" spans="2:6" x14ac:dyDescent="0.25">
      <c r="B86" s="383"/>
      <c r="C86" s="387"/>
      <c r="D86" s="387" t="s">
        <v>301</v>
      </c>
      <c r="E86" s="164" t="s">
        <v>302</v>
      </c>
      <c r="F86" s="185">
        <v>0</v>
      </c>
    </row>
    <row r="87" spans="2:6" x14ac:dyDescent="0.25">
      <c r="B87" s="383"/>
      <c r="C87" s="387"/>
      <c r="D87" s="387"/>
      <c r="E87" s="164" t="s">
        <v>303</v>
      </c>
      <c r="F87" s="185">
        <v>1</v>
      </c>
    </row>
    <row r="88" spans="2:6" x14ac:dyDescent="0.25">
      <c r="B88" s="383"/>
      <c r="C88" s="387"/>
      <c r="D88" s="387"/>
      <c r="E88" s="164" t="s">
        <v>121</v>
      </c>
      <c r="F88" s="185">
        <v>2</v>
      </c>
    </row>
    <row r="89" spans="2:6" x14ac:dyDescent="0.25">
      <c r="B89" s="383"/>
      <c r="C89" s="377" t="s">
        <v>304</v>
      </c>
      <c r="D89" s="398" t="s">
        <v>305</v>
      </c>
      <c r="E89" s="164" t="s">
        <v>121</v>
      </c>
      <c r="F89" s="185">
        <v>2</v>
      </c>
    </row>
    <row r="90" spans="2:6" x14ac:dyDescent="0.25">
      <c r="B90" s="383"/>
      <c r="C90" s="320"/>
      <c r="D90" s="399"/>
      <c r="E90" s="164" t="s">
        <v>303</v>
      </c>
      <c r="F90" s="185">
        <v>1</v>
      </c>
    </row>
    <row r="91" spans="2:6" x14ac:dyDescent="0.25">
      <c r="B91" s="383"/>
      <c r="C91" s="320"/>
      <c r="D91" s="397"/>
      <c r="E91" s="164" t="s">
        <v>306</v>
      </c>
      <c r="F91" s="185">
        <v>0</v>
      </c>
    </row>
    <row r="92" spans="2:6" x14ac:dyDescent="0.25">
      <c r="B92" s="383"/>
      <c r="C92" s="320"/>
      <c r="D92" s="387" t="s">
        <v>307</v>
      </c>
      <c r="E92" s="164" t="s">
        <v>121</v>
      </c>
      <c r="F92" s="185">
        <v>2</v>
      </c>
    </row>
    <row r="93" spans="2:6" x14ac:dyDescent="0.25">
      <c r="B93" s="383"/>
      <c r="C93" s="320"/>
      <c r="D93" s="387"/>
      <c r="E93" s="164" t="s">
        <v>303</v>
      </c>
      <c r="F93" s="185">
        <v>1</v>
      </c>
    </row>
    <row r="94" spans="2:6" ht="15.75" thickBot="1" x14ac:dyDescent="0.3">
      <c r="B94" s="385"/>
      <c r="C94" s="321"/>
      <c r="D94" s="388"/>
      <c r="E94" s="170" t="s">
        <v>298</v>
      </c>
      <c r="F94" s="187">
        <v>0</v>
      </c>
    </row>
    <row r="96" spans="2:6" ht="15.75" thickBot="1" x14ac:dyDescent="0.3"/>
    <row r="97" spans="2:6" ht="15.75" thickBot="1" x14ac:dyDescent="0.3">
      <c r="B97" s="189" t="s">
        <v>24</v>
      </c>
      <c r="C97" s="190" t="s">
        <v>257</v>
      </c>
      <c r="D97" s="190" t="s">
        <v>26</v>
      </c>
      <c r="E97" s="190" t="s">
        <v>258</v>
      </c>
      <c r="F97" s="191" t="s">
        <v>259</v>
      </c>
    </row>
    <row r="98" spans="2:6" ht="15" customHeight="1" x14ac:dyDescent="0.25">
      <c r="B98" s="382" t="s">
        <v>308</v>
      </c>
      <c r="C98" s="389" t="s">
        <v>309</v>
      </c>
      <c r="D98" s="386" t="s">
        <v>310</v>
      </c>
      <c r="E98" s="192" t="s">
        <v>37</v>
      </c>
      <c r="F98" s="184">
        <v>1</v>
      </c>
    </row>
    <row r="99" spans="2:6" x14ac:dyDescent="0.25">
      <c r="B99" s="383"/>
      <c r="C99" s="390"/>
      <c r="D99" s="387"/>
      <c r="E99" s="164" t="s">
        <v>132</v>
      </c>
      <c r="F99" s="185">
        <v>0</v>
      </c>
    </row>
    <row r="100" spans="2:6" ht="15" customHeight="1" x14ac:dyDescent="0.25">
      <c r="B100" s="383"/>
      <c r="C100" s="387" t="s">
        <v>127</v>
      </c>
      <c r="D100" s="387" t="s">
        <v>311</v>
      </c>
      <c r="E100" s="164" t="s">
        <v>37</v>
      </c>
      <c r="F100" s="185">
        <v>5</v>
      </c>
    </row>
    <row r="101" spans="2:6" x14ac:dyDescent="0.25">
      <c r="B101" s="383"/>
      <c r="C101" s="387"/>
      <c r="D101" s="387"/>
      <c r="E101" s="164" t="s">
        <v>132</v>
      </c>
      <c r="F101" s="185">
        <v>0</v>
      </c>
    </row>
    <row r="102" spans="2:6" x14ac:dyDescent="0.25">
      <c r="B102" s="383"/>
      <c r="C102" s="387"/>
      <c r="D102" s="387" t="s">
        <v>312</v>
      </c>
      <c r="E102" s="164" t="s">
        <v>37</v>
      </c>
      <c r="F102" s="185">
        <v>5</v>
      </c>
    </row>
    <row r="103" spans="2:6" x14ac:dyDescent="0.25">
      <c r="B103" s="383"/>
      <c r="C103" s="387"/>
      <c r="D103" s="387"/>
      <c r="E103" s="164" t="s">
        <v>132</v>
      </c>
      <c r="F103" s="185">
        <v>0</v>
      </c>
    </row>
    <row r="104" spans="2:6" x14ac:dyDescent="0.25">
      <c r="B104" s="383"/>
      <c r="C104" s="387"/>
      <c r="D104" s="387" t="s">
        <v>313</v>
      </c>
      <c r="E104" s="164" t="s">
        <v>37</v>
      </c>
      <c r="F104" s="185">
        <v>5</v>
      </c>
    </row>
    <row r="105" spans="2:6" ht="15.75" thickBot="1" x14ac:dyDescent="0.3">
      <c r="B105" s="384"/>
      <c r="C105" s="398"/>
      <c r="D105" s="398"/>
      <c r="E105" s="194" t="s">
        <v>132</v>
      </c>
      <c r="F105" s="193">
        <v>0</v>
      </c>
    </row>
    <row r="106" spans="2:6" ht="15" customHeight="1" x14ac:dyDescent="0.25">
      <c r="B106" s="382" t="s">
        <v>314</v>
      </c>
      <c r="C106" s="389" t="s">
        <v>315</v>
      </c>
      <c r="D106" s="386" t="s">
        <v>131</v>
      </c>
      <c r="E106" s="192" t="s">
        <v>37</v>
      </c>
      <c r="F106" s="184">
        <v>2</v>
      </c>
    </row>
    <row r="107" spans="2:6" ht="15.75" customHeight="1" x14ac:dyDescent="0.25">
      <c r="B107" s="383"/>
      <c r="C107" s="390"/>
      <c r="D107" s="387"/>
      <c r="E107" s="164" t="s">
        <v>132</v>
      </c>
      <c r="F107" s="185">
        <v>0</v>
      </c>
    </row>
    <row r="108" spans="2:6" ht="15" customHeight="1" x14ac:dyDescent="0.25">
      <c r="B108" s="383"/>
      <c r="C108" s="390"/>
      <c r="D108" s="387" t="s">
        <v>133</v>
      </c>
      <c r="E108" s="164" t="s">
        <v>37</v>
      </c>
      <c r="F108" s="185">
        <v>2</v>
      </c>
    </row>
    <row r="109" spans="2:6" ht="15.75" customHeight="1" x14ac:dyDescent="0.25">
      <c r="B109" s="383"/>
      <c r="C109" s="390"/>
      <c r="D109" s="387"/>
      <c r="E109" s="164" t="s">
        <v>132</v>
      </c>
      <c r="F109" s="185">
        <v>0</v>
      </c>
    </row>
    <row r="110" spans="2:6" x14ac:dyDescent="0.25">
      <c r="B110" s="383"/>
      <c r="C110" s="390"/>
      <c r="D110" s="387" t="s">
        <v>134</v>
      </c>
      <c r="E110" s="164" t="s">
        <v>37</v>
      </c>
      <c r="F110" s="185">
        <v>1</v>
      </c>
    </row>
    <row r="111" spans="2:6" x14ac:dyDescent="0.25">
      <c r="B111" s="383"/>
      <c r="C111" s="390"/>
      <c r="D111" s="387"/>
      <c r="E111" s="164" t="s">
        <v>132</v>
      </c>
      <c r="F111" s="185">
        <v>0</v>
      </c>
    </row>
    <row r="112" spans="2:6" x14ac:dyDescent="0.25">
      <c r="B112" s="383"/>
      <c r="C112" s="390"/>
      <c r="D112" s="387" t="s">
        <v>135</v>
      </c>
      <c r="E112" s="164" t="s">
        <v>37</v>
      </c>
      <c r="F112" s="185">
        <v>1</v>
      </c>
    </row>
    <row r="113" spans="2:6" x14ac:dyDescent="0.25">
      <c r="B113" s="383"/>
      <c r="C113" s="390"/>
      <c r="D113" s="387"/>
      <c r="E113" s="164" t="s">
        <v>132</v>
      </c>
      <c r="F113" s="185">
        <v>0</v>
      </c>
    </row>
    <row r="114" spans="2:6" x14ac:dyDescent="0.25">
      <c r="B114" s="383"/>
      <c r="C114" s="390" t="s">
        <v>136</v>
      </c>
      <c r="D114" s="387" t="s">
        <v>137</v>
      </c>
      <c r="E114" s="164" t="s">
        <v>37</v>
      </c>
      <c r="F114" s="185">
        <v>2</v>
      </c>
    </row>
    <row r="115" spans="2:6" ht="15.75" thickBot="1" x14ac:dyDescent="0.3">
      <c r="B115" s="384"/>
      <c r="C115" s="391"/>
      <c r="D115" s="398"/>
      <c r="E115" s="194" t="s">
        <v>132</v>
      </c>
      <c r="F115" s="193">
        <v>0</v>
      </c>
    </row>
    <row r="116" spans="2:6" x14ac:dyDescent="0.25">
      <c r="B116" s="382" t="s">
        <v>316</v>
      </c>
      <c r="C116" s="389" t="s">
        <v>141</v>
      </c>
      <c r="D116" s="386" t="s">
        <v>142</v>
      </c>
      <c r="E116" s="192" t="s">
        <v>37</v>
      </c>
      <c r="F116" s="184">
        <v>3</v>
      </c>
    </row>
    <row r="117" spans="2:6" x14ac:dyDescent="0.25">
      <c r="B117" s="383"/>
      <c r="C117" s="390"/>
      <c r="D117" s="387"/>
      <c r="E117" s="164" t="s">
        <v>132</v>
      </c>
      <c r="F117" s="185">
        <v>0</v>
      </c>
    </row>
    <row r="118" spans="2:6" x14ac:dyDescent="0.25">
      <c r="B118" s="383"/>
      <c r="C118" s="390"/>
      <c r="D118" s="387" t="s">
        <v>143</v>
      </c>
      <c r="E118" s="164" t="s">
        <v>37</v>
      </c>
      <c r="F118" s="185">
        <v>3</v>
      </c>
    </row>
    <row r="119" spans="2:6" x14ac:dyDescent="0.25">
      <c r="B119" s="383"/>
      <c r="C119" s="390"/>
      <c r="D119" s="387"/>
      <c r="E119" s="164" t="s">
        <v>132</v>
      </c>
      <c r="F119" s="185">
        <v>0</v>
      </c>
    </row>
    <row r="120" spans="2:6" x14ac:dyDescent="0.25">
      <c r="B120" s="383"/>
      <c r="C120" s="390"/>
      <c r="D120" s="387" t="s">
        <v>144</v>
      </c>
      <c r="E120" s="164" t="s">
        <v>37</v>
      </c>
      <c r="F120" s="185">
        <v>3</v>
      </c>
    </row>
    <row r="121" spans="2:6" x14ac:dyDescent="0.25">
      <c r="B121" s="383"/>
      <c r="C121" s="390"/>
      <c r="D121" s="387"/>
      <c r="E121" s="164" t="s">
        <v>132</v>
      </c>
      <c r="F121" s="185">
        <v>0</v>
      </c>
    </row>
    <row r="122" spans="2:6" x14ac:dyDescent="0.25">
      <c r="B122" s="383"/>
      <c r="C122" s="390"/>
      <c r="D122" s="387" t="s">
        <v>145</v>
      </c>
      <c r="E122" s="164" t="s">
        <v>37</v>
      </c>
      <c r="F122" s="185">
        <v>3</v>
      </c>
    </row>
    <row r="123" spans="2:6" x14ac:dyDescent="0.25">
      <c r="B123" s="383"/>
      <c r="C123" s="390"/>
      <c r="D123" s="387"/>
      <c r="E123" s="164" t="s">
        <v>132</v>
      </c>
      <c r="F123" s="185">
        <v>0</v>
      </c>
    </row>
    <row r="124" spans="2:6" x14ac:dyDescent="0.25">
      <c r="B124" s="383"/>
      <c r="C124" s="390"/>
      <c r="D124" s="387" t="s">
        <v>317</v>
      </c>
      <c r="E124" s="164" t="s">
        <v>37</v>
      </c>
      <c r="F124" s="185">
        <v>1</v>
      </c>
    </row>
    <row r="125" spans="2:6" x14ac:dyDescent="0.25">
      <c r="B125" s="383"/>
      <c r="C125" s="390"/>
      <c r="D125" s="387"/>
      <c r="E125" s="164" t="s">
        <v>132</v>
      </c>
      <c r="F125" s="185">
        <v>0</v>
      </c>
    </row>
    <row r="126" spans="2:6" x14ac:dyDescent="0.25">
      <c r="B126" s="383"/>
      <c r="C126" s="390" t="s">
        <v>318</v>
      </c>
      <c r="D126" s="387" t="s">
        <v>148</v>
      </c>
      <c r="E126" s="164" t="s">
        <v>37</v>
      </c>
      <c r="F126" s="185">
        <v>3</v>
      </c>
    </row>
    <row r="127" spans="2:6" x14ac:dyDescent="0.25">
      <c r="B127" s="383"/>
      <c r="C127" s="390"/>
      <c r="D127" s="387"/>
      <c r="E127" s="164" t="s">
        <v>132</v>
      </c>
      <c r="F127" s="185">
        <v>0</v>
      </c>
    </row>
    <row r="128" spans="2:6" x14ac:dyDescent="0.25">
      <c r="B128" s="383"/>
      <c r="C128" s="390"/>
      <c r="D128" s="387" t="s">
        <v>149</v>
      </c>
      <c r="E128" s="164" t="s">
        <v>37</v>
      </c>
      <c r="F128" s="185">
        <v>3</v>
      </c>
    </row>
    <row r="129" spans="2:6" x14ac:dyDescent="0.25">
      <c r="B129" s="383"/>
      <c r="C129" s="390"/>
      <c r="D129" s="387"/>
      <c r="E129" s="164" t="s">
        <v>132</v>
      </c>
      <c r="F129" s="185">
        <v>0</v>
      </c>
    </row>
    <row r="130" spans="2:6" x14ac:dyDescent="0.25">
      <c r="B130" s="383"/>
      <c r="C130" s="390"/>
      <c r="D130" s="387" t="s">
        <v>150</v>
      </c>
      <c r="E130" s="164" t="s">
        <v>37</v>
      </c>
      <c r="F130" s="185">
        <v>3</v>
      </c>
    </row>
    <row r="131" spans="2:6" x14ac:dyDescent="0.25">
      <c r="B131" s="383"/>
      <c r="C131" s="390"/>
      <c r="D131" s="387"/>
      <c r="E131" s="164" t="s">
        <v>132</v>
      </c>
      <c r="F131" s="185">
        <v>0</v>
      </c>
    </row>
    <row r="132" spans="2:6" x14ac:dyDescent="0.25">
      <c r="B132" s="383"/>
      <c r="C132" s="390"/>
      <c r="D132" s="387" t="s">
        <v>151</v>
      </c>
      <c r="E132" s="164" t="s">
        <v>37</v>
      </c>
      <c r="F132" s="185">
        <v>3</v>
      </c>
    </row>
    <row r="133" spans="2:6" x14ac:dyDescent="0.25">
      <c r="B133" s="383"/>
      <c r="C133" s="390"/>
      <c r="D133" s="387"/>
      <c r="E133" s="164" t="s">
        <v>132</v>
      </c>
      <c r="F133" s="185">
        <v>0</v>
      </c>
    </row>
    <row r="134" spans="2:6" x14ac:dyDescent="0.25">
      <c r="B134" s="383"/>
      <c r="C134" s="390"/>
      <c r="D134" s="387" t="s">
        <v>152</v>
      </c>
      <c r="E134" s="164" t="s">
        <v>37</v>
      </c>
      <c r="F134" s="185">
        <v>3</v>
      </c>
    </row>
    <row r="135" spans="2:6" x14ac:dyDescent="0.25">
      <c r="B135" s="383"/>
      <c r="C135" s="390"/>
      <c r="D135" s="387"/>
      <c r="E135" s="164" t="s">
        <v>132</v>
      </c>
      <c r="F135" s="185">
        <v>0</v>
      </c>
    </row>
    <row r="136" spans="2:6" x14ac:dyDescent="0.25">
      <c r="B136" s="383"/>
      <c r="C136" s="390"/>
      <c r="D136" s="387" t="s">
        <v>153</v>
      </c>
      <c r="E136" s="164" t="s">
        <v>37</v>
      </c>
      <c r="F136" s="185">
        <v>3</v>
      </c>
    </row>
    <row r="137" spans="2:6" x14ac:dyDescent="0.25">
      <c r="B137" s="383"/>
      <c r="C137" s="390"/>
      <c r="D137" s="387"/>
      <c r="E137" s="164" t="s">
        <v>132</v>
      </c>
      <c r="F137" s="185">
        <v>0</v>
      </c>
    </row>
    <row r="138" spans="2:6" x14ac:dyDescent="0.25">
      <c r="B138" s="383"/>
      <c r="C138" s="390"/>
      <c r="D138" s="387" t="s">
        <v>154</v>
      </c>
      <c r="E138" s="164" t="s">
        <v>37</v>
      </c>
      <c r="F138" s="185">
        <v>3</v>
      </c>
    </row>
    <row r="139" spans="2:6" x14ac:dyDescent="0.25">
      <c r="B139" s="383"/>
      <c r="C139" s="390"/>
      <c r="D139" s="387"/>
      <c r="E139" s="164" t="s">
        <v>132</v>
      </c>
      <c r="F139" s="185">
        <v>0</v>
      </c>
    </row>
    <row r="140" spans="2:6" x14ac:dyDescent="0.25">
      <c r="B140" s="383"/>
      <c r="C140" s="390"/>
      <c r="D140" s="387" t="s">
        <v>155</v>
      </c>
      <c r="E140" s="164" t="s">
        <v>37</v>
      </c>
      <c r="F140" s="185">
        <v>3</v>
      </c>
    </row>
    <row r="141" spans="2:6" x14ac:dyDescent="0.25">
      <c r="B141" s="383"/>
      <c r="C141" s="390"/>
      <c r="D141" s="387"/>
      <c r="E141" s="164" t="s">
        <v>132</v>
      </c>
      <c r="F141" s="185">
        <v>0</v>
      </c>
    </row>
    <row r="142" spans="2:6" x14ac:dyDescent="0.25">
      <c r="B142" s="383"/>
      <c r="C142" s="390"/>
      <c r="D142" s="387" t="s">
        <v>156</v>
      </c>
      <c r="E142" s="164" t="s">
        <v>37</v>
      </c>
      <c r="F142" s="185">
        <v>1</v>
      </c>
    </row>
    <row r="143" spans="2:6" x14ac:dyDescent="0.25">
      <c r="B143" s="383"/>
      <c r="C143" s="390"/>
      <c r="D143" s="387"/>
      <c r="E143" s="164" t="s">
        <v>132</v>
      </c>
      <c r="F143" s="185">
        <v>0</v>
      </c>
    </row>
    <row r="144" spans="2:6" ht="15" customHeight="1" x14ac:dyDescent="0.25">
      <c r="B144" s="383"/>
      <c r="C144" s="377" t="s">
        <v>157</v>
      </c>
      <c r="D144" s="387" t="s">
        <v>319</v>
      </c>
      <c r="E144" s="164" t="s">
        <v>37</v>
      </c>
      <c r="F144" s="185">
        <v>2</v>
      </c>
    </row>
    <row r="145" spans="2:6" x14ac:dyDescent="0.25">
      <c r="B145" s="383"/>
      <c r="C145" s="320"/>
      <c r="D145" s="398"/>
      <c r="E145" s="194" t="s">
        <v>132</v>
      </c>
      <c r="F145" s="193">
        <v>0</v>
      </c>
    </row>
    <row r="146" spans="2:6" ht="15" customHeight="1" x14ac:dyDescent="0.25">
      <c r="B146" s="383"/>
      <c r="C146" s="320"/>
      <c r="D146" s="387" t="s">
        <v>320</v>
      </c>
      <c r="E146" s="164" t="s">
        <v>37</v>
      </c>
      <c r="F146" s="185">
        <v>2</v>
      </c>
    </row>
    <row r="147" spans="2:6" x14ac:dyDescent="0.25">
      <c r="B147" s="383"/>
      <c r="C147" s="320"/>
      <c r="D147" s="398"/>
      <c r="E147" s="194" t="s">
        <v>132</v>
      </c>
      <c r="F147" s="193">
        <v>0</v>
      </c>
    </row>
    <row r="148" spans="2:6" ht="15" customHeight="1" x14ac:dyDescent="0.25">
      <c r="B148" s="383"/>
      <c r="C148" s="320"/>
      <c r="D148" s="387" t="s">
        <v>321</v>
      </c>
      <c r="E148" s="164" t="s">
        <v>37</v>
      </c>
      <c r="F148" s="185">
        <v>2</v>
      </c>
    </row>
    <row r="149" spans="2:6" ht="15.75" thickBot="1" x14ac:dyDescent="0.3">
      <c r="B149" s="384"/>
      <c r="C149" s="321"/>
      <c r="D149" s="398"/>
      <c r="E149" s="194" t="s">
        <v>132</v>
      </c>
      <c r="F149" s="193">
        <v>0</v>
      </c>
    </row>
    <row r="150" spans="2:6" x14ac:dyDescent="0.25">
      <c r="B150" s="382" t="s">
        <v>322</v>
      </c>
      <c r="C150" s="386" t="s">
        <v>323</v>
      </c>
      <c r="D150" s="386" t="s">
        <v>163</v>
      </c>
      <c r="E150" s="192" t="s">
        <v>37</v>
      </c>
      <c r="F150" s="184">
        <v>6</v>
      </c>
    </row>
    <row r="151" spans="2:6" x14ac:dyDescent="0.25">
      <c r="B151" s="383"/>
      <c r="C151" s="387"/>
      <c r="D151" s="387"/>
      <c r="E151" s="164" t="s">
        <v>132</v>
      </c>
      <c r="F151" s="185">
        <v>0</v>
      </c>
    </row>
    <row r="152" spans="2:6" x14ac:dyDescent="0.25">
      <c r="B152" s="383"/>
      <c r="C152" s="387"/>
      <c r="D152" s="387" t="s">
        <v>164</v>
      </c>
      <c r="E152" s="164" t="s">
        <v>37</v>
      </c>
      <c r="F152" s="185">
        <v>2</v>
      </c>
    </row>
    <row r="153" spans="2:6" ht="15.75" thickBot="1" x14ac:dyDescent="0.3">
      <c r="B153" s="385"/>
      <c r="C153" s="388"/>
      <c r="D153" s="388"/>
      <c r="E153" s="170" t="s">
        <v>132</v>
      </c>
      <c r="F153" s="187">
        <v>0</v>
      </c>
    </row>
  </sheetData>
  <mergeCells count="116">
    <mergeCell ref="B150:B153"/>
    <mergeCell ref="C150:C153"/>
    <mergeCell ref="D150:D151"/>
    <mergeCell ref="D152:D153"/>
    <mergeCell ref="D130:D131"/>
    <mergeCell ref="D132:D133"/>
    <mergeCell ref="D134:D135"/>
    <mergeCell ref="D136:D137"/>
    <mergeCell ref="D138:D139"/>
    <mergeCell ref="D140:D141"/>
    <mergeCell ref="B116:B149"/>
    <mergeCell ref="C116:C125"/>
    <mergeCell ref="D116:D117"/>
    <mergeCell ref="D118:D119"/>
    <mergeCell ref="D120:D121"/>
    <mergeCell ref="D122:D123"/>
    <mergeCell ref="D124:D125"/>
    <mergeCell ref="C126:C143"/>
    <mergeCell ref="D126:D127"/>
    <mergeCell ref="D128:D129"/>
    <mergeCell ref="D142:D143"/>
    <mergeCell ref="C144:C149"/>
    <mergeCell ref="D144:D145"/>
    <mergeCell ref="D146:D147"/>
    <mergeCell ref="D148:D149"/>
    <mergeCell ref="B106:B115"/>
    <mergeCell ref="C106:C113"/>
    <mergeCell ref="D106:D107"/>
    <mergeCell ref="D108:D109"/>
    <mergeCell ref="D110:D111"/>
    <mergeCell ref="D112:D113"/>
    <mergeCell ref="C114:C115"/>
    <mergeCell ref="D114:D115"/>
    <mergeCell ref="B98:B105"/>
    <mergeCell ref="C98:C99"/>
    <mergeCell ref="D98:D99"/>
    <mergeCell ref="C100:C105"/>
    <mergeCell ref="D100:D101"/>
    <mergeCell ref="D102:D103"/>
    <mergeCell ref="D104:D105"/>
    <mergeCell ref="B82:B94"/>
    <mergeCell ref="C82:C88"/>
    <mergeCell ref="D82:D85"/>
    <mergeCell ref="D86:D88"/>
    <mergeCell ref="C89:C94"/>
    <mergeCell ref="D89:D91"/>
    <mergeCell ref="D92:D94"/>
    <mergeCell ref="D72:D73"/>
    <mergeCell ref="D74:D75"/>
    <mergeCell ref="D76:D77"/>
    <mergeCell ref="B78:B81"/>
    <mergeCell ref="C78:C79"/>
    <mergeCell ref="D78:D79"/>
    <mergeCell ref="C80:C81"/>
    <mergeCell ref="D80:D81"/>
    <mergeCell ref="B64:B67"/>
    <mergeCell ref="C64:C65"/>
    <mergeCell ref="D64:D65"/>
    <mergeCell ref="C66:C67"/>
    <mergeCell ref="D66:D67"/>
    <mergeCell ref="B68:B77"/>
    <mergeCell ref="C68:C71"/>
    <mergeCell ref="D68:D69"/>
    <mergeCell ref="D70:D71"/>
    <mergeCell ref="C72:C77"/>
    <mergeCell ref="B53:B56"/>
    <mergeCell ref="C53:C56"/>
    <mergeCell ref="D53:D54"/>
    <mergeCell ref="D55:D56"/>
    <mergeCell ref="B57:B60"/>
    <mergeCell ref="C57:C60"/>
    <mergeCell ref="D57:D60"/>
    <mergeCell ref="D45:D46"/>
    <mergeCell ref="D47:D48"/>
    <mergeCell ref="B49:B52"/>
    <mergeCell ref="C49:C52"/>
    <mergeCell ref="D49:D50"/>
    <mergeCell ref="D51:D52"/>
    <mergeCell ref="AF5:AF6"/>
    <mergeCell ref="A38:X38"/>
    <mergeCell ref="B41:B48"/>
    <mergeCell ref="C41:C44"/>
    <mergeCell ref="D41:D42"/>
    <mergeCell ref="D43:D44"/>
    <mergeCell ref="C45:C48"/>
    <mergeCell ref="O5:P5"/>
    <mergeCell ref="Q5:R5"/>
    <mergeCell ref="S5:T5"/>
    <mergeCell ref="U5:V5"/>
    <mergeCell ref="W5:X5"/>
    <mergeCell ref="Y5:Y6"/>
    <mergeCell ref="B4:B6"/>
    <mergeCell ref="Z4:AA4"/>
    <mergeCell ref="AB4:AC4"/>
    <mergeCell ref="AD4:AE4"/>
    <mergeCell ref="AG4:AG6"/>
    <mergeCell ref="C5:D5"/>
    <mergeCell ref="E5:F5"/>
    <mergeCell ref="G5:H5"/>
    <mergeCell ref="I5:J5"/>
    <mergeCell ref="K5:L5"/>
    <mergeCell ref="M5:N5"/>
    <mergeCell ref="M4:N4"/>
    <mergeCell ref="O4:P4"/>
    <mergeCell ref="Q4:R4"/>
    <mergeCell ref="S4:T4"/>
    <mergeCell ref="U4:V4"/>
    <mergeCell ref="W4:X4"/>
    <mergeCell ref="C4:D4"/>
    <mergeCell ref="E4:F4"/>
    <mergeCell ref="G4:H4"/>
    <mergeCell ref="I4:J4"/>
    <mergeCell ref="K4:L4"/>
    <mergeCell ref="Z5:AA5"/>
    <mergeCell ref="AB5:AC5"/>
    <mergeCell ref="AD5:AE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K148"/>
  <sheetViews>
    <sheetView topLeftCell="A115" workbookViewId="0">
      <selection activeCell="D77" sqref="D77:D79"/>
    </sheetView>
  </sheetViews>
  <sheetFormatPr baseColWidth="10" defaultRowHeight="15" x14ac:dyDescent="0.25"/>
  <cols>
    <col min="2" max="2" width="16.5703125" customWidth="1"/>
    <col min="3" max="3" width="24.85546875" customWidth="1"/>
    <col min="4" max="4" width="23.85546875" customWidth="1"/>
    <col min="5" max="5" width="23.7109375" customWidth="1"/>
    <col min="6" max="6" width="13.28515625" bestFit="1" customWidth="1"/>
    <col min="7" max="7" width="9.5703125" customWidth="1"/>
    <col min="8" max="8" width="6" customWidth="1"/>
    <col min="9" max="9" width="8.5703125" customWidth="1"/>
    <col min="10" max="10" width="8.140625" customWidth="1"/>
    <col min="11" max="11" width="6.5703125" customWidth="1"/>
    <col min="12" max="12" width="7.5703125" customWidth="1"/>
    <col min="13" max="14" width="7.85546875" customWidth="1"/>
    <col min="15" max="15" width="9.5703125" bestFit="1" customWidth="1"/>
    <col min="16" max="16" width="6.5703125" customWidth="1"/>
    <col min="17" max="17" width="6.42578125" customWidth="1"/>
    <col min="18" max="18" width="16.42578125" customWidth="1"/>
    <col min="19" max="19" width="8" customWidth="1"/>
    <col min="20" max="20" width="7.42578125" customWidth="1"/>
    <col min="21" max="21" width="6.85546875" customWidth="1"/>
    <col min="22" max="22" width="7.42578125" customWidth="1"/>
    <col min="23" max="23" width="7.5703125" customWidth="1"/>
    <col min="24" max="24" width="10.28515625" customWidth="1"/>
    <col min="25" max="25" width="6.5703125" customWidth="1"/>
    <col min="26" max="26" width="6.85546875" customWidth="1"/>
    <col min="27" max="27" width="8" customWidth="1"/>
    <col min="28" max="28" width="8.5703125" customWidth="1"/>
    <col min="29" max="29" width="9.5703125" customWidth="1"/>
    <col min="30" max="30" width="7.7109375" customWidth="1"/>
    <col min="31" max="31" width="9.140625" style="133" bestFit="1" customWidth="1"/>
    <col min="32" max="32" width="10.42578125" customWidth="1"/>
    <col min="33" max="33" width="7.28515625" customWidth="1"/>
    <col min="34" max="34" width="9.140625" style="134" bestFit="1" customWidth="1"/>
    <col min="35" max="36" width="8.28515625" bestFit="1" customWidth="1"/>
  </cols>
  <sheetData>
    <row r="2" spans="2:37" x14ac:dyDescent="0.25">
      <c r="B2" s="132"/>
    </row>
    <row r="3" spans="2:37" ht="15.75" thickBot="1" x14ac:dyDescent="0.3">
      <c r="D3" s="135"/>
      <c r="F3" s="135"/>
      <c r="H3" s="135"/>
      <c r="J3" s="135"/>
      <c r="L3" s="135"/>
      <c r="N3" s="135"/>
      <c r="P3" s="135"/>
      <c r="AB3" s="135"/>
    </row>
    <row r="4" spans="2:37" s="140" customFormat="1" ht="15.75" customHeight="1" thickBot="1" x14ac:dyDescent="0.3">
      <c r="B4" s="379" t="s">
        <v>171</v>
      </c>
      <c r="C4" s="357" t="s">
        <v>172</v>
      </c>
      <c r="D4" s="358"/>
      <c r="E4" s="364" t="s">
        <v>173</v>
      </c>
      <c r="F4" s="365"/>
      <c r="G4" s="357" t="s">
        <v>174</v>
      </c>
      <c r="H4" s="358"/>
      <c r="I4" s="357" t="s">
        <v>175</v>
      </c>
      <c r="J4" s="358"/>
      <c r="K4" s="364" t="s">
        <v>176</v>
      </c>
      <c r="L4" s="365"/>
      <c r="M4" s="357" t="s">
        <v>177</v>
      </c>
      <c r="N4" s="358"/>
      <c r="O4" s="357" t="s">
        <v>178</v>
      </c>
      <c r="P4" s="358"/>
      <c r="Q4" s="364" t="s">
        <v>179</v>
      </c>
      <c r="R4" s="365"/>
      <c r="S4" s="357" t="s">
        <v>180</v>
      </c>
      <c r="T4" s="358"/>
      <c r="U4" s="357" t="s">
        <v>181</v>
      </c>
      <c r="V4" s="358"/>
      <c r="W4" s="357" t="s">
        <v>182</v>
      </c>
      <c r="X4" s="358"/>
      <c r="Y4" s="136" t="s">
        <v>183</v>
      </c>
      <c r="Z4" s="357" t="s">
        <v>184</v>
      </c>
      <c r="AA4" s="358"/>
      <c r="AB4" s="357" t="s">
        <v>185</v>
      </c>
      <c r="AC4" s="358"/>
      <c r="AD4" s="359" t="s">
        <v>186</v>
      </c>
      <c r="AE4" s="360"/>
      <c r="AF4" s="137" t="s">
        <v>187</v>
      </c>
      <c r="AG4" s="361" t="s">
        <v>188</v>
      </c>
      <c r="AH4" s="138"/>
      <c r="AI4" s="139"/>
      <c r="AJ4" s="139"/>
    </row>
    <row r="5" spans="2:37" s="143" customFormat="1" ht="42" customHeight="1" thickBot="1" x14ac:dyDescent="0.3">
      <c r="B5" s="380"/>
      <c r="C5" s="357" t="s">
        <v>189</v>
      </c>
      <c r="D5" s="358"/>
      <c r="E5" s="364" t="s">
        <v>190</v>
      </c>
      <c r="F5" s="365"/>
      <c r="G5" s="357" t="s">
        <v>191</v>
      </c>
      <c r="H5" s="358"/>
      <c r="I5" s="357" t="s">
        <v>192</v>
      </c>
      <c r="J5" s="358"/>
      <c r="K5" s="364" t="s">
        <v>193</v>
      </c>
      <c r="L5" s="365"/>
      <c r="M5" s="357" t="s">
        <v>194</v>
      </c>
      <c r="N5" s="358"/>
      <c r="O5" s="357" t="s">
        <v>195</v>
      </c>
      <c r="P5" s="358"/>
      <c r="Q5" s="364" t="s">
        <v>196</v>
      </c>
      <c r="R5" s="365"/>
      <c r="S5" s="357" t="s">
        <v>197</v>
      </c>
      <c r="T5" s="358"/>
      <c r="U5" s="357" t="s">
        <v>198</v>
      </c>
      <c r="V5" s="358"/>
      <c r="W5" s="357" t="s">
        <v>199</v>
      </c>
      <c r="X5" s="358"/>
      <c r="Y5" s="366" t="s">
        <v>200</v>
      </c>
      <c r="Z5" s="357" t="s">
        <v>201</v>
      </c>
      <c r="AA5" s="358"/>
      <c r="AB5" s="357" t="s">
        <v>202</v>
      </c>
      <c r="AC5" s="358"/>
      <c r="AD5" s="359" t="s">
        <v>203</v>
      </c>
      <c r="AE5" s="360"/>
      <c r="AF5" s="366" t="s">
        <v>204</v>
      </c>
      <c r="AG5" s="362"/>
      <c r="AH5" s="141"/>
      <c r="AI5" s="141"/>
      <c r="AJ5" s="142"/>
    </row>
    <row r="6" spans="2:37" ht="238.5" thickBot="1" x14ac:dyDescent="0.3">
      <c r="B6" s="381"/>
      <c r="C6" s="144" t="s">
        <v>189</v>
      </c>
      <c r="D6" s="145" t="s">
        <v>205</v>
      </c>
      <c r="E6" s="146" t="s">
        <v>190</v>
      </c>
      <c r="F6" s="147" t="s">
        <v>206</v>
      </c>
      <c r="G6" s="148" t="s">
        <v>191</v>
      </c>
      <c r="H6" s="149" t="s">
        <v>207</v>
      </c>
      <c r="I6" s="150" t="s">
        <v>192</v>
      </c>
      <c r="J6" s="147" t="s">
        <v>208</v>
      </c>
      <c r="K6" s="145" t="s">
        <v>209</v>
      </c>
      <c r="L6" s="147" t="s">
        <v>210</v>
      </c>
      <c r="M6" s="148" t="s">
        <v>211</v>
      </c>
      <c r="N6" s="149" t="s">
        <v>212</v>
      </c>
      <c r="O6" s="150" t="s">
        <v>195</v>
      </c>
      <c r="P6" s="147" t="s">
        <v>213</v>
      </c>
      <c r="Q6" s="144" t="s">
        <v>196</v>
      </c>
      <c r="R6" s="147" t="s">
        <v>214</v>
      </c>
      <c r="S6" s="151" t="s">
        <v>215</v>
      </c>
      <c r="T6" s="147" t="s">
        <v>216</v>
      </c>
      <c r="U6" s="152" t="s">
        <v>217</v>
      </c>
      <c r="V6" s="153" t="s">
        <v>218</v>
      </c>
      <c r="W6" s="152" t="s">
        <v>219</v>
      </c>
      <c r="X6" s="153" t="s">
        <v>220</v>
      </c>
      <c r="Y6" s="367"/>
      <c r="Z6" s="144" t="s">
        <v>221</v>
      </c>
      <c r="AA6" s="147" t="s">
        <v>222</v>
      </c>
      <c r="AB6" s="145" t="s">
        <v>223</v>
      </c>
      <c r="AC6" s="147" t="s">
        <v>224</v>
      </c>
      <c r="AD6" s="152" t="s">
        <v>225</v>
      </c>
      <c r="AE6" s="153" t="s">
        <v>226</v>
      </c>
      <c r="AF6" s="367"/>
      <c r="AG6" s="363"/>
      <c r="AH6" s="154"/>
      <c r="AI6" s="154"/>
      <c r="AJ6" s="155"/>
    </row>
    <row r="7" spans="2:37" x14ac:dyDescent="0.25">
      <c r="B7" s="156" t="s">
        <v>227</v>
      </c>
      <c r="C7" s="157">
        <v>2484</v>
      </c>
      <c r="D7" s="158">
        <v>1</v>
      </c>
      <c r="E7" s="159">
        <v>0.94484594903004948</v>
      </c>
      <c r="F7" s="158">
        <v>0.75</v>
      </c>
      <c r="G7" s="158">
        <v>32.093023255813954</v>
      </c>
      <c r="H7" s="158">
        <v>0.5</v>
      </c>
      <c r="I7" s="160">
        <v>0.13083735909822866</v>
      </c>
      <c r="J7" s="158">
        <v>1</v>
      </c>
      <c r="K7" s="158">
        <v>28.5</v>
      </c>
      <c r="L7" s="158">
        <v>1.25</v>
      </c>
      <c r="M7" s="158">
        <v>103.10711365494684</v>
      </c>
      <c r="N7" s="158">
        <v>1</v>
      </c>
      <c r="O7" s="160">
        <v>0.1388888888888889</v>
      </c>
      <c r="P7" s="158">
        <v>1</v>
      </c>
      <c r="Q7" s="157">
        <v>11.76</v>
      </c>
      <c r="R7" s="158">
        <v>1.75</v>
      </c>
      <c r="S7" s="160">
        <v>0.3946348631239936</v>
      </c>
      <c r="T7" s="158">
        <v>1.25</v>
      </c>
      <c r="U7" s="160">
        <v>0.38717793880837359</v>
      </c>
      <c r="V7" s="158">
        <v>1.75</v>
      </c>
      <c r="W7" s="160">
        <v>8.307238902191931E-2</v>
      </c>
      <c r="X7" s="158">
        <v>0.5</v>
      </c>
      <c r="Y7" s="158">
        <v>11.75</v>
      </c>
      <c r="Z7" s="157" t="s">
        <v>228</v>
      </c>
      <c r="AA7" s="158">
        <v>0.25</v>
      </c>
      <c r="AB7" s="158">
        <v>15.954311633917905</v>
      </c>
      <c r="AC7" s="158">
        <v>1.5</v>
      </c>
      <c r="AD7" s="160">
        <v>0.39625322997416018</v>
      </c>
      <c r="AE7" s="158">
        <v>3.25</v>
      </c>
      <c r="AF7" s="158">
        <v>5</v>
      </c>
      <c r="AG7" s="161">
        <v>16.75</v>
      </c>
      <c r="AH7" s="154"/>
      <c r="AI7" s="154"/>
      <c r="AJ7" s="155"/>
      <c r="AK7" s="162"/>
    </row>
    <row r="8" spans="2:37" x14ac:dyDescent="0.25">
      <c r="B8" s="163" t="s">
        <v>229</v>
      </c>
      <c r="C8" s="164">
        <v>2287</v>
      </c>
      <c r="D8" s="165">
        <v>1</v>
      </c>
      <c r="E8" s="166">
        <v>0.96092436974789919</v>
      </c>
      <c r="F8" s="165">
        <v>0.75</v>
      </c>
      <c r="G8" s="165">
        <v>34.442771084337345</v>
      </c>
      <c r="H8" s="165">
        <v>0.5</v>
      </c>
      <c r="I8" s="167">
        <v>0.14516834280717097</v>
      </c>
      <c r="J8" s="165">
        <v>1</v>
      </c>
      <c r="K8" s="165">
        <v>29.2</v>
      </c>
      <c r="L8" s="165">
        <v>1.25</v>
      </c>
      <c r="M8" s="165">
        <v>105.66546762589928</v>
      </c>
      <c r="N8" s="165">
        <v>1</v>
      </c>
      <c r="O8" s="167">
        <v>0.15566243987756886</v>
      </c>
      <c r="P8" s="165">
        <v>1.5</v>
      </c>
      <c r="Q8" s="164">
        <v>9.31</v>
      </c>
      <c r="R8" s="165">
        <v>1</v>
      </c>
      <c r="S8" s="167">
        <v>0.3980355050284215</v>
      </c>
      <c r="T8" s="165">
        <v>1.25</v>
      </c>
      <c r="U8" s="167">
        <v>0.44490599038041101</v>
      </c>
      <c r="V8" s="165">
        <v>1.5</v>
      </c>
      <c r="W8" s="167">
        <v>0.13979505499670958</v>
      </c>
      <c r="X8" s="165">
        <v>1</v>
      </c>
      <c r="Y8" s="165">
        <v>11.75</v>
      </c>
      <c r="Z8" s="164" t="s">
        <v>230</v>
      </c>
      <c r="AA8" s="165">
        <v>0</v>
      </c>
      <c r="AB8" s="165">
        <v>13.406559864162986</v>
      </c>
      <c r="AC8" s="165">
        <v>1.5</v>
      </c>
      <c r="AD8" s="167">
        <v>0.48554216867469879</v>
      </c>
      <c r="AE8" s="165">
        <v>3.25</v>
      </c>
      <c r="AF8" s="165">
        <v>4.75</v>
      </c>
      <c r="AG8" s="168">
        <v>16.5</v>
      </c>
      <c r="AH8" s="154"/>
      <c r="AI8" s="154"/>
      <c r="AJ8" s="155"/>
      <c r="AK8" s="162"/>
    </row>
    <row r="9" spans="2:37" x14ac:dyDescent="0.25">
      <c r="B9" s="163" t="s">
        <v>231</v>
      </c>
      <c r="C9" s="164">
        <v>3840</v>
      </c>
      <c r="D9" s="165">
        <v>0.75</v>
      </c>
      <c r="E9" s="166">
        <v>0.99792099792099798</v>
      </c>
      <c r="F9" s="165">
        <v>0.75</v>
      </c>
      <c r="G9" s="165">
        <v>115.31531531531533</v>
      </c>
      <c r="H9" s="165">
        <v>0.25</v>
      </c>
      <c r="I9" s="167">
        <v>0.15963541666666667</v>
      </c>
      <c r="J9" s="165">
        <v>0.75</v>
      </c>
      <c r="K9" s="165">
        <v>26.2</v>
      </c>
      <c r="L9" s="165">
        <v>1.25</v>
      </c>
      <c r="M9" s="165">
        <v>102.31822971548998</v>
      </c>
      <c r="N9" s="165">
        <v>1</v>
      </c>
      <c r="O9" s="167">
        <v>0.18281249999999999</v>
      </c>
      <c r="P9" s="165">
        <v>1.5</v>
      </c>
      <c r="Q9" s="164">
        <v>7.43</v>
      </c>
      <c r="R9" s="165">
        <v>1</v>
      </c>
      <c r="S9" s="167">
        <v>0.42823320312499996</v>
      </c>
      <c r="T9" s="165">
        <v>1</v>
      </c>
      <c r="U9" s="167">
        <v>0.54010416666666672</v>
      </c>
      <c r="V9" s="165">
        <v>1.5</v>
      </c>
      <c r="W9" s="167">
        <v>0.15957853360266416</v>
      </c>
      <c r="X9" s="165">
        <v>1</v>
      </c>
      <c r="Y9" s="165">
        <v>10.75</v>
      </c>
      <c r="Z9" s="164" t="s">
        <v>230</v>
      </c>
      <c r="AA9" s="165">
        <v>0</v>
      </c>
      <c r="AB9" s="165">
        <v>34.280946355063008</v>
      </c>
      <c r="AC9" s="165">
        <v>1.5</v>
      </c>
      <c r="AD9" s="167">
        <v>0</v>
      </c>
      <c r="AE9" s="165">
        <v>2.25</v>
      </c>
      <c r="AF9" s="165">
        <v>3.75</v>
      </c>
      <c r="AG9" s="168">
        <v>14.5</v>
      </c>
      <c r="AH9" s="154"/>
      <c r="AI9" s="154"/>
      <c r="AJ9" s="155"/>
      <c r="AK9" s="162"/>
    </row>
    <row r="10" spans="2:37" x14ac:dyDescent="0.25">
      <c r="B10" s="163" t="s">
        <v>232</v>
      </c>
      <c r="C10" s="164">
        <v>221</v>
      </c>
      <c r="D10" s="165">
        <v>1.5</v>
      </c>
      <c r="E10" s="166">
        <v>1.1693121693121693</v>
      </c>
      <c r="F10" s="165">
        <v>0</v>
      </c>
      <c r="G10" s="165">
        <v>73.666666666666671</v>
      </c>
      <c r="H10" s="165">
        <v>0.25</v>
      </c>
      <c r="I10" s="167">
        <v>0.15837104072398189</v>
      </c>
      <c r="J10" s="165">
        <v>0.75</v>
      </c>
      <c r="K10" s="165">
        <v>30.3</v>
      </c>
      <c r="L10" s="165">
        <v>1.5</v>
      </c>
      <c r="M10" s="165">
        <v>121</v>
      </c>
      <c r="N10" s="165">
        <v>1</v>
      </c>
      <c r="O10" s="167">
        <v>0.10407239819004525</v>
      </c>
      <c r="P10" s="165">
        <v>1</v>
      </c>
      <c r="Q10" s="164">
        <v>13.4</v>
      </c>
      <c r="R10" s="165">
        <v>1.75</v>
      </c>
      <c r="S10" s="167">
        <v>0.3461864253393665</v>
      </c>
      <c r="T10" s="165">
        <v>1.5</v>
      </c>
      <c r="U10" s="167">
        <v>0.27714932126696834</v>
      </c>
      <c r="V10" s="165">
        <v>2</v>
      </c>
      <c r="W10" s="167">
        <v>5.7471264367816098E-2</v>
      </c>
      <c r="X10" s="165">
        <v>0.5</v>
      </c>
      <c r="Y10" s="165">
        <v>11.75</v>
      </c>
      <c r="Z10" s="164" t="s">
        <v>230</v>
      </c>
      <c r="AA10" s="165">
        <v>0</v>
      </c>
      <c r="AB10" s="165">
        <v>17.692900910465802</v>
      </c>
      <c r="AC10" s="165">
        <v>1.5</v>
      </c>
      <c r="AD10" s="167">
        <v>0</v>
      </c>
      <c r="AE10" s="165">
        <v>2.25</v>
      </c>
      <c r="AF10" s="165">
        <v>3.75</v>
      </c>
      <c r="AG10" s="168">
        <v>15.5</v>
      </c>
      <c r="AH10" s="154"/>
      <c r="AI10" s="154"/>
      <c r="AJ10" s="155"/>
      <c r="AK10" s="162"/>
    </row>
    <row r="11" spans="2:37" x14ac:dyDescent="0.25">
      <c r="B11" s="163" t="s">
        <v>233</v>
      </c>
      <c r="C11" s="164">
        <v>2195</v>
      </c>
      <c r="D11" s="165">
        <v>1</v>
      </c>
      <c r="E11" s="166">
        <v>0.92033542976939209</v>
      </c>
      <c r="F11" s="165">
        <v>0.75</v>
      </c>
      <c r="G11" s="165">
        <v>60.635359116022094</v>
      </c>
      <c r="H11" s="165">
        <v>0.25</v>
      </c>
      <c r="I11" s="167">
        <v>0.11890660592255126</v>
      </c>
      <c r="J11" s="165">
        <v>1</v>
      </c>
      <c r="K11" s="165">
        <v>32.1</v>
      </c>
      <c r="L11" s="165">
        <v>1.5</v>
      </c>
      <c r="M11" s="165">
        <v>96.157283288650589</v>
      </c>
      <c r="N11" s="165">
        <v>0.75</v>
      </c>
      <c r="O11" s="167">
        <v>0.10888382687927108</v>
      </c>
      <c r="P11" s="165">
        <v>1</v>
      </c>
      <c r="Q11" s="164">
        <v>9.5399999999999991</v>
      </c>
      <c r="R11" s="165">
        <v>1</v>
      </c>
      <c r="S11" s="167">
        <v>0.3932947608200455</v>
      </c>
      <c r="T11" s="165">
        <v>1.25</v>
      </c>
      <c r="U11" s="167">
        <v>0.38257403189066058</v>
      </c>
      <c r="V11" s="165">
        <v>1.75</v>
      </c>
      <c r="W11" s="167">
        <v>0.1533529535421484</v>
      </c>
      <c r="X11" s="165">
        <v>1</v>
      </c>
      <c r="Y11" s="165">
        <v>11.25</v>
      </c>
      <c r="Z11" s="164" t="s">
        <v>230</v>
      </c>
      <c r="AA11" s="165">
        <v>0</v>
      </c>
      <c r="AB11" s="165">
        <v>20.707634014120305</v>
      </c>
      <c r="AC11" s="165">
        <v>1.5</v>
      </c>
      <c r="AD11" s="167">
        <v>5.8839779005524853E-2</v>
      </c>
      <c r="AE11" s="165">
        <v>2.25</v>
      </c>
      <c r="AF11" s="165">
        <v>3.75</v>
      </c>
      <c r="AG11" s="168">
        <v>15</v>
      </c>
      <c r="AH11" s="154"/>
      <c r="AI11" s="154"/>
      <c r="AJ11" s="155"/>
      <c r="AK11" s="162"/>
    </row>
    <row r="12" spans="2:37" x14ac:dyDescent="0.25">
      <c r="B12" s="163" t="s">
        <v>234</v>
      </c>
      <c r="C12" s="164">
        <v>1351</v>
      </c>
      <c r="D12" s="165">
        <v>1</v>
      </c>
      <c r="E12" s="166">
        <v>0.90793010752688175</v>
      </c>
      <c r="F12" s="165">
        <v>0.75</v>
      </c>
      <c r="G12" s="165">
        <v>37.843137254901954</v>
      </c>
      <c r="H12" s="165">
        <v>0.5</v>
      </c>
      <c r="I12" s="167">
        <v>0.10954848260547742</v>
      </c>
      <c r="J12" s="165">
        <v>1</v>
      </c>
      <c r="K12" s="165">
        <v>30.7</v>
      </c>
      <c r="L12" s="165">
        <v>1.5</v>
      </c>
      <c r="M12" s="165">
        <v>111.42410015649453</v>
      </c>
      <c r="N12" s="165">
        <v>1</v>
      </c>
      <c r="O12" s="167">
        <v>0.13175425610658772</v>
      </c>
      <c r="P12" s="165">
        <v>1</v>
      </c>
      <c r="Q12" s="164">
        <v>5.49</v>
      </c>
      <c r="R12" s="165">
        <v>1</v>
      </c>
      <c r="S12" s="167">
        <v>0.44413456698741671</v>
      </c>
      <c r="T12" s="165">
        <v>1</v>
      </c>
      <c r="U12" s="167">
        <v>0.46965210954848263</v>
      </c>
      <c r="V12" s="165">
        <v>1.5</v>
      </c>
      <c r="W12" s="167">
        <v>0.17453974596831739</v>
      </c>
      <c r="X12" s="165">
        <v>1</v>
      </c>
      <c r="Y12" s="165">
        <v>11.25</v>
      </c>
      <c r="Z12" s="164" t="s">
        <v>230</v>
      </c>
      <c r="AA12" s="165">
        <v>0</v>
      </c>
      <c r="AB12" s="165">
        <v>10.178906756169836</v>
      </c>
      <c r="AC12" s="165">
        <v>1.25</v>
      </c>
      <c r="AD12" s="167">
        <v>0.45602240896358542</v>
      </c>
      <c r="AE12" s="165">
        <v>3.25</v>
      </c>
      <c r="AF12" s="165">
        <v>4.5</v>
      </c>
      <c r="AG12" s="168">
        <v>15.75</v>
      </c>
      <c r="AH12" s="154"/>
      <c r="AI12" s="154"/>
      <c r="AJ12" s="155"/>
      <c r="AK12" s="162"/>
    </row>
    <row r="13" spans="2:37" x14ac:dyDescent="0.25">
      <c r="B13" s="163" t="s">
        <v>235</v>
      </c>
      <c r="C13" s="164">
        <v>2045</v>
      </c>
      <c r="D13" s="165">
        <v>1</v>
      </c>
      <c r="E13" s="166">
        <v>0.95516113965436711</v>
      </c>
      <c r="F13" s="165">
        <v>0.75</v>
      </c>
      <c r="G13" s="165">
        <v>74.908424908424905</v>
      </c>
      <c r="H13" s="165">
        <v>0.25</v>
      </c>
      <c r="I13" s="167">
        <v>0.13789731051344745</v>
      </c>
      <c r="J13" s="165">
        <v>1</v>
      </c>
      <c r="K13" s="165">
        <v>26.9</v>
      </c>
      <c r="L13" s="165">
        <v>1.25</v>
      </c>
      <c r="M13" s="165">
        <v>108.46075433231397</v>
      </c>
      <c r="N13" s="165">
        <v>1</v>
      </c>
      <c r="O13" s="167">
        <v>0.23080684596577017</v>
      </c>
      <c r="P13" s="165">
        <v>2</v>
      </c>
      <c r="Q13" s="164">
        <v>5.48</v>
      </c>
      <c r="R13" s="165">
        <v>1</v>
      </c>
      <c r="S13" s="167">
        <v>0.43292176039119806</v>
      </c>
      <c r="T13" s="165">
        <v>1</v>
      </c>
      <c r="U13" s="167">
        <v>0.54706601466992666</v>
      </c>
      <c r="V13" s="165">
        <v>1.5</v>
      </c>
      <c r="W13" s="167">
        <v>0.21576288954541123</v>
      </c>
      <c r="X13" s="165">
        <v>1</v>
      </c>
      <c r="Y13" s="165">
        <v>11.75</v>
      </c>
      <c r="Z13" s="164" t="s">
        <v>230</v>
      </c>
      <c r="AA13" s="165">
        <v>0</v>
      </c>
      <c r="AB13" s="165">
        <v>20.328091000455355</v>
      </c>
      <c r="AC13" s="165">
        <v>1.5</v>
      </c>
      <c r="AD13" s="167">
        <v>0</v>
      </c>
      <c r="AE13" s="165">
        <v>2.25</v>
      </c>
      <c r="AF13" s="165">
        <v>3.75</v>
      </c>
      <c r="AG13" s="168">
        <v>15.5</v>
      </c>
      <c r="AH13" s="154"/>
      <c r="AI13" s="154"/>
      <c r="AJ13" s="155"/>
      <c r="AK13" s="162"/>
    </row>
    <row r="14" spans="2:37" x14ac:dyDescent="0.25">
      <c r="B14" s="163" t="s">
        <v>236</v>
      </c>
      <c r="C14" s="164">
        <v>3952</v>
      </c>
      <c r="D14" s="165">
        <v>0.75</v>
      </c>
      <c r="E14" s="166">
        <v>0.98824706176544141</v>
      </c>
      <c r="F14" s="165">
        <v>0.75</v>
      </c>
      <c r="G14" s="165">
        <v>62.630744849445321</v>
      </c>
      <c r="H14" s="165">
        <v>0.25</v>
      </c>
      <c r="I14" s="167">
        <v>0.1604251012145749</v>
      </c>
      <c r="J14" s="165">
        <v>0.75</v>
      </c>
      <c r="K14" s="165">
        <v>28.8</v>
      </c>
      <c r="L14" s="165">
        <v>1.25</v>
      </c>
      <c r="M14" s="165">
        <v>98.194583751253759</v>
      </c>
      <c r="N14" s="165">
        <v>0.75</v>
      </c>
      <c r="O14" s="167">
        <v>0.1707995951417004</v>
      </c>
      <c r="P14" s="165">
        <v>1.5</v>
      </c>
      <c r="Q14" s="164">
        <v>11.93</v>
      </c>
      <c r="R14" s="165">
        <v>1.75</v>
      </c>
      <c r="S14" s="167">
        <v>0.37331113360323886</v>
      </c>
      <c r="T14" s="165">
        <v>1.25</v>
      </c>
      <c r="U14" s="167">
        <v>0.35115131578947367</v>
      </c>
      <c r="V14" s="165">
        <v>1.75</v>
      </c>
      <c r="W14" s="167">
        <v>6.5111374719915655E-2</v>
      </c>
      <c r="X14" s="165">
        <v>0.5</v>
      </c>
      <c r="Y14" s="165">
        <v>11.25</v>
      </c>
      <c r="Z14" s="164" t="s">
        <v>230</v>
      </c>
      <c r="AA14" s="165">
        <v>0</v>
      </c>
      <c r="AB14" s="165">
        <v>16.56860564610362</v>
      </c>
      <c r="AC14" s="165">
        <v>1.5</v>
      </c>
      <c r="AD14" s="167">
        <v>3.3280507131537239E-3</v>
      </c>
      <c r="AE14" s="165">
        <v>2.25</v>
      </c>
      <c r="AF14" s="165">
        <v>3.75</v>
      </c>
      <c r="AG14" s="168">
        <v>15</v>
      </c>
      <c r="AH14" s="154"/>
      <c r="AI14" s="154"/>
      <c r="AJ14" s="155"/>
      <c r="AK14" s="162"/>
    </row>
    <row r="15" spans="2:37" x14ac:dyDescent="0.25">
      <c r="B15" s="163" t="s">
        <v>237</v>
      </c>
      <c r="C15" s="164">
        <v>4251</v>
      </c>
      <c r="D15" s="165">
        <v>0.75</v>
      </c>
      <c r="E15" s="166">
        <v>0.98722712494194143</v>
      </c>
      <c r="F15" s="165">
        <v>0.75</v>
      </c>
      <c r="G15" s="165">
        <v>231.03260869565219</v>
      </c>
      <c r="H15" s="165">
        <v>0.25</v>
      </c>
      <c r="I15" s="167">
        <v>0.19595389320159962</v>
      </c>
      <c r="J15" s="165">
        <v>0.75</v>
      </c>
      <c r="K15" s="165">
        <v>23.9</v>
      </c>
      <c r="L15" s="165">
        <v>1</v>
      </c>
      <c r="M15" s="165">
        <v>100.51886792452831</v>
      </c>
      <c r="N15" s="165">
        <v>1</v>
      </c>
      <c r="O15" s="167">
        <v>0.23829687132439425</v>
      </c>
      <c r="P15" s="165">
        <v>2</v>
      </c>
      <c r="Q15" s="164">
        <v>14.83</v>
      </c>
      <c r="R15" s="165">
        <v>1.75</v>
      </c>
      <c r="S15" s="167">
        <v>0.34747113620324627</v>
      </c>
      <c r="T15" s="165">
        <v>1.5</v>
      </c>
      <c r="U15" s="167">
        <v>0.33586215008233355</v>
      </c>
      <c r="V15" s="165">
        <v>2</v>
      </c>
      <c r="W15" s="167">
        <v>4.165853023498016E-2</v>
      </c>
      <c r="X15" s="165">
        <v>0.5</v>
      </c>
      <c r="Y15" s="165">
        <v>12.25</v>
      </c>
      <c r="Z15" s="164" t="s">
        <v>230</v>
      </c>
      <c r="AA15" s="165">
        <v>0</v>
      </c>
      <c r="AB15" s="165">
        <v>17.58449761015472</v>
      </c>
      <c r="AC15" s="165">
        <v>1.5</v>
      </c>
      <c r="AD15" s="167">
        <v>8.8586956521739132E-2</v>
      </c>
      <c r="AE15" s="165">
        <v>2.25</v>
      </c>
      <c r="AF15" s="165">
        <v>3.75</v>
      </c>
      <c r="AG15" s="168">
        <v>16</v>
      </c>
      <c r="AH15" s="154"/>
      <c r="AI15" s="154"/>
      <c r="AJ15" s="155"/>
      <c r="AK15" s="162"/>
    </row>
    <row r="16" spans="2:37" x14ac:dyDescent="0.25">
      <c r="B16" s="163" t="s">
        <v>238</v>
      </c>
      <c r="C16" s="164">
        <v>8026</v>
      </c>
      <c r="D16" s="165">
        <v>0.25</v>
      </c>
      <c r="E16" s="166">
        <v>1.0369509043927649</v>
      </c>
      <c r="F16" s="165">
        <v>0</v>
      </c>
      <c r="G16" s="165">
        <v>215.17426273458446</v>
      </c>
      <c r="H16" s="165">
        <v>0.25</v>
      </c>
      <c r="I16" s="167">
        <v>0.18352853227012211</v>
      </c>
      <c r="J16" s="165">
        <v>0.75</v>
      </c>
      <c r="K16" s="165">
        <v>22.6</v>
      </c>
      <c r="L16" s="165">
        <v>1</v>
      </c>
      <c r="M16" s="165">
        <v>105.37359263050155</v>
      </c>
      <c r="N16" s="165">
        <v>1</v>
      </c>
      <c r="O16" s="167">
        <v>0.23635684026912535</v>
      </c>
      <c r="P16" s="165">
        <v>2</v>
      </c>
      <c r="Q16" s="164">
        <v>12.95</v>
      </c>
      <c r="R16" s="165">
        <v>1.75</v>
      </c>
      <c r="S16" s="167">
        <v>0.37504928980812358</v>
      </c>
      <c r="T16" s="165">
        <v>1.25</v>
      </c>
      <c r="U16" s="167">
        <v>0.36341265885870921</v>
      </c>
      <c r="V16" s="165">
        <v>1.75</v>
      </c>
      <c r="W16" s="167">
        <v>6.3415086180268129E-2</v>
      </c>
      <c r="X16" s="165">
        <v>0.5</v>
      </c>
      <c r="Y16" s="165">
        <v>10.5</v>
      </c>
      <c r="Z16" s="164" t="s">
        <v>230</v>
      </c>
      <c r="AA16" s="165">
        <v>0</v>
      </c>
      <c r="AB16" s="165">
        <v>20.14364114713868</v>
      </c>
      <c r="AC16" s="165">
        <v>1.5</v>
      </c>
      <c r="AD16" s="167">
        <v>0</v>
      </c>
      <c r="AE16" s="165">
        <v>2.25</v>
      </c>
      <c r="AF16" s="165">
        <v>3.75</v>
      </c>
      <c r="AG16" s="168">
        <v>14.25</v>
      </c>
      <c r="AH16" s="154"/>
      <c r="AI16" s="154"/>
      <c r="AJ16" s="155"/>
      <c r="AK16" s="162"/>
    </row>
    <row r="17" spans="2:37" x14ac:dyDescent="0.25">
      <c r="B17" s="163" t="s">
        <v>239</v>
      </c>
      <c r="C17" s="164">
        <v>8100</v>
      </c>
      <c r="D17" s="165">
        <v>0.25</v>
      </c>
      <c r="E17" s="166">
        <v>1.0029717682020802</v>
      </c>
      <c r="F17" s="165">
        <v>0</v>
      </c>
      <c r="G17" s="165">
        <v>99.8766954377312</v>
      </c>
      <c r="H17" s="165">
        <v>0.25</v>
      </c>
      <c r="I17" s="167">
        <v>0.16123456790123455</v>
      </c>
      <c r="J17" s="165">
        <v>0.75</v>
      </c>
      <c r="K17" s="165">
        <v>24.1</v>
      </c>
      <c r="L17" s="165">
        <v>1</v>
      </c>
      <c r="M17" s="165">
        <v>100.99255583126552</v>
      </c>
      <c r="N17" s="165">
        <v>1</v>
      </c>
      <c r="O17" s="167">
        <v>0.23950617283950618</v>
      </c>
      <c r="P17" s="165">
        <v>2</v>
      </c>
      <c r="Q17" s="164">
        <v>13.1</v>
      </c>
      <c r="R17" s="165">
        <v>1.75</v>
      </c>
      <c r="S17" s="167">
        <v>0.37986722222222219</v>
      </c>
      <c r="T17" s="165">
        <v>1.25</v>
      </c>
      <c r="U17" s="167">
        <v>0.3527469135802469</v>
      </c>
      <c r="V17" s="165">
        <v>1.75</v>
      </c>
      <c r="W17" s="167">
        <v>4.7739477956787811E-2</v>
      </c>
      <c r="X17" s="165">
        <v>0.5</v>
      </c>
      <c r="Y17" s="165">
        <v>10.5</v>
      </c>
      <c r="Z17" s="164" t="s">
        <v>230</v>
      </c>
      <c r="AA17" s="165">
        <v>0</v>
      </c>
      <c r="AB17" s="165">
        <v>20.045335855581182</v>
      </c>
      <c r="AC17" s="165">
        <v>1.5</v>
      </c>
      <c r="AD17" s="167">
        <v>0</v>
      </c>
      <c r="AE17" s="165">
        <v>2.25</v>
      </c>
      <c r="AF17" s="165">
        <v>3.75</v>
      </c>
      <c r="AG17" s="168">
        <v>14.25</v>
      </c>
      <c r="AH17" s="154"/>
      <c r="AI17" s="154"/>
      <c r="AJ17" s="155"/>
      <c r="AK17" s="162"/>
    </row>
    <row r="18" spans="2:37" x14ac:dyDescent="0.25">
      <c r="B18" s="163" t="s">
        <v>240</v>
      </c>
      <c r="C18" s="164">
        <v>3178</v>
      </c>
      <c r="D18" s="165">
        <v>0.75</v>
      </c>
      <c r="E18" s="166">
        <v>0.93333333333333335</v>
      </c>
      <c r="F18" s="165">
        <v>0.75</v>
      </c>
      <c r="G18" s="165">
        <v>86.594005449591279</v>
      </c>
      <c r="H18" s="165">
        <v>0.25</v>
      </c>
      <c r="I18" s="167">
        <v>0.13467589679043424</v>
      </c>
      <c r="J18" s="165">
        <v>1</v>
      </c>
      <c r="K18" s="165">
        <v>30</v>
      </c>
      <c r="L18" s="165">
        <v>1.5</v>
      </c>
      <c r="M18" s="165">
        <v>105.29715762273901</v>
      </c>
      <c r="N18" s="165">
        <v>1</v>
      </c>
      <c r="O18" s="167">
        <v>0.11674008810572688</v>
      </c>
      <c r="P18" s="165">
        <v>1</v>
      </c>
      <c r="Q18" s="164">
        <v>9.11</v>
      </c>
      <c r="R18" s="165">
        <v>1</v>
      </c>
      <c r="S18" s="167">
        <v>0.41136683448709876</v>
      </c>
      <c r="T18" s="165">
        <v>1</v>
      </c>
      <c r="U18" s="167">
        <v>0.37586532410320955</v>
      </c>
      <c r="V18" s="165">
        <v>1.75</v>
      </c>
      <c r="W18" s="167">
        <v>0.13098278276629047</v>
      </c>
      <c r="X18" s="165">
        <v>1</v>
      </c>
      <c r="Y18" s="165">
        <v>11</v>
      </c>
      <c r="Z18" s="164" t="s">
        <v>230</v>
      </c>
      <c r="AA18" s="165">
        <v>0</v>
      </c>
      <c r="AB18" s="165">
        <v>22.594698055123523</v>
      </c>
      <c r="AC18" s="165">
        <v>1.5</v>
      </c>
      <c r="AD18" s="167">
        <v>2.9700272479564034E-2</v>
      </c>
      <c r="AE18" s="165">
        <v>2.25</v>
      </c>
      <c r="AF18" s="165">
        <v>3.75</v>
      </c>
      <c r="AG18" s="168">
        <v>14.75</v>
      </c>
      <c r="AH18" s="154"/>
      <c r="AI18" s="154"/>
      <c r="AJ18" s="155"/>
      <c r="AK18" s="162"/>
    </row>
    <row r="19" spans="2:37" x14ac:dyDescent="0.25">
      <c r="B19" s="163" t="s">
        <v>241</v>
      </c>
      <c r="C19" s="164">
        <v>2336</v>
      </c>
      <c r="D19" s="165">
        <v>1</v>
      </c>
      <c r="E19" s="166">
        <v>0.88150943396226411</v>
      </c>
      <c r="F19" s="165">
        <v>1</v>
      </c>
      <c r="G19" s="165">
        <v>20.31304347826087</v>
      </c>
      <c r="H19" s="165">
        <v>0.5</v>
      </c>
      <c r="I19" s="167">
        <v>0.12842465753424659</v>
      </c>
      <c r="J19" s="165">
        <v>1</v>
      </c>
      <c r="K19" s="165">
        <v>34</v>
      </c>
      <c r="L19" s="165">
        <v>1.5</v>
      </c>
      <c r="M19" s="165">
        <v>105.99647266313934</v>
      </c>
      <c r="N19" s="165">
        <v>1</v>
      </c>
      <c r="O19" s="167">
        <v>0.15368150684931506</v>
      </c>
      <c r="P19" s="165">
        <v>1.5</v>
      </c>
      <c r="Q19" s="164">
        <v>10.76</v>
      </c>
      <c r="R19" s="165">
        <v>1.75</v>
      </c>
      <c r="S19" s="167">
        <v>0.37572825342465754</v>
      </c>
      <c r="T19" s="165">
        <v>1.25</v>
      </c>
      <c r="U19" s="167">
        <v>0.41309931506849318</v>
      </c>
      <c r="V19" s="165">
        <v>1.5</v>
      </c>
      <c r="W19" s="167">
        <v>0.15333206033988925</v>
      </c>
      <c r="X19" s="165">
        <v>1</v>
      </c>
      <c r="Y19" s="165">
        <v>13</v>
      </c>
      <c r="Z19" s="164" t="s">
        <v>228</v>
      </c>
      <c r="AA19" s="165">
        <v>0.25</v>
      </c>
      <c r="AB19" s="165">
        <v>37.706298615164251</v>
      </c>
      <c r="AC19" s="165">
        <v>1.5</v>
      </c>
      <c r="AD19" s="167">
        <v>0.42913043478260871</v>
      </c>
      <c r="AE19" s="165">
        <v>3.25</v>
      </c>
      <c r="AF19" s="165">
        <v>5</v>
      </c>
      <c r="AG19" s="168">
        <v>18</v>
      </c>
      <c r="AH19" s="154"/>
      <c r="AI19" s="154"/>
      <c r="AJ19" s="155"/>
      <c r="AK19" s="162"/>
    </row>
    <row r="20" spans="2:37" x14ac:dyDescent="0.25">
      <c r="B20" s="163" t="s">
        <v>242</v>
      </c>
      <c r="C20" s="164">
        <v>2080</v>
      </c>
      <c r="D20" s="165">
        <v>1</v>
      </c>
      <c r="E20" s="166">
        <v>0.89193825042881647</v>
      </c>
      <c r="F20" s="165">
        <v>1</v>
      </c>
      <c r="G20" s="165">
        <v>48.148148148148145</v>
      </c>
      <c r="H20" s="165">
        <v>0.5</v>
      </c>
      <c r="I20" s="167">
        <v>0.16057692307692309</v>
      </c>
      <c r="J20" s="165">
        <v>0.75</v>
      </c>
      <c r="K20" s="165">
        <v>33.700000000000003</v>
      </c>
      <c r="L20" s="165">
        <v>1.5</v>
      </c>
      <c r="M20" s="165">
        <v>99.424736337488014</v>
      </c>
      <c r="N20" s="165">
        <v>0.75</v>
      </c>
      <c r="O20" s="167">
        <v>0.18990384615384615</v>
      </c>
      <c r="P20" s="165">
        <v>1.5</v>
      </c>
      <c r="Q20" s="164">
        <v>16.62</v>
      </c>
      <c r="R20" s="165">
        <v>2</v>
      </c>
      <c r="S20" s="167">
        <v>0.30518024038461539</v>
      </c>
      <c r="T20" s="165">
        <v>1.5</v>
      </c>
      <c r="U20" s="167">
        <v>0.27848557692307691</v>
      </c>
      <c r="V20" s="165">
        <v>2</v>
      </c>
      <c r="W20" s="167">
        <v>9.2034606205250599E-2</v>
      </c>
      <c r="X20" s="165">
        <v>0.5</v>
      </c>
      <c r="Y20" s="165">
        <v>13</v>
      </c>
      <c r="Z20" s="164" t="s">
        <v>228</v>
      </c>
      <c r="AA20" s="165">
        <v>0.25</v>
      </c>
      <c r="AB20" s="165">
        <v>26.824713008377564</v>
      </c>
      <c r="AC20" s="165">
        <v>1.5</v>
      </c>
      <c r="AD20" s="167">
        <v>0</v>
      </c>
      <c r="AE20" s="165">
        <v>2.25</v>
      </c>
      <c r="AF20" s="165">
        <v>4</v>
      </c>
      <c r="AG20" s="168">
        <v>17</v>
      </c>
      <c r="AH20" s="154"/>
      <c r="AI20" s="154"/>
      <c r="AJ20" s="155"/>
      <c r="AK20" s="162"/>
    </row>
    <row r="21" spans="2:37" x14ac:dyDescent="0.25">
      <c r="B21" s="163" t="s">
        <v>243</v>
      </c>
      <c r="C21" s="164">
        <v>993</v>
      </c>
      <c r="D21" s="165">
        <v>1.5</v>
      </c>
      <c r="E21" s="166">
        <v>1.0735135135135134</v>
      </c>
      <c r="F21" s="165">
        <v>0</v>
      </c>
      <c r="G21" s="165">
        <v>45.136363636363633</v>
      </c>
      <c r="H21" s="165">
        <v>0.5</v>
      </c>
      <c r="I21" s="167">
        <v>0.15609264853977844</v>
      </c>
      <c r="J21" s="165">
        <v>0.75</v>
      </c>
      <c r="K21" s="165">
        <v>23.9</v>
      </c>
      <c r="L21" s="165">
        <v>1</v>
      </c>
      <c r="M21" s="165">
        <v>99.798792756539228</v>
      </c>
      <c r="N21" s="165">
        <v>0.75</v>
      </c>
      <c r="O21" s="167">
        <v>0.13393756294058409</v>
      </c>
      <c r="P21" s="165">
        <v>1</v>
      </c>
      <c r="Q21" s="164">
        <v>6.29</v>
      </c>
      <c r="R21" s="165">
        <v>1</v>
      </c>
      <c r="S21" s="167">
        <v>0.45209566968781467</v>
      </c>
      <c r="T21" s="165">
        <v>1</v>
      </c>
      <c r="U21" s="167">
        <v>0.43403826787512589</v>
      </c>
      <c r="V21" s="165">
        <v>1.5</v>
      </c>
      <c r="W21" s="167">
        <v>0.14668265387689847</v>
      </c>
      <c r="X21" s="165">
        <v>1</v>
      </c>
      <c r="Y21" s="165">
        <v>10</v>
      </c>
      <c r="Z21" s="164" t="s">
        <v>230</v>
      </c>
      <c r="AA21" s="165">
        <v>0</v>
      </c>
      <c r="AB21" s="165">
        <v>9.2894893793277955</v>
      </c>
      <c r="AC21" s="165">
        <v>1.25</v>
      </c>
      <c r="AD21" s="167">
        <v>4.2272727272727274E-2</v>
      </c>
      <c r="AE21" s="165">
        <v>2.25</v>
      </c>
      <c r="AF21" s="165">
        <v>3.5</v>
      </c>
      <c r="AG21" s="168">
        <v>13.5</v>
      </c>
      <c r="AH21" s="154"/>
      <c r="AI21" s="154"/>
      <c r="AJ21" s="155"/>
      <c r="AK21" s="162"/>
    </row>
    <row r="22" spans="2:37" x14ac:dyDescent="0.25">
      <c r="B22" s="163" t="s">
        <v>244</v>
      </c>
      <c r="C22" s="164">
        <v>2444</v>
      </c>
      <c r="D22" s="165">
        <v>1</v>
      </c>
      <c r="E22" s="166">
        <v>0.99877400899060076</v>
      </c>
      <c r="F22" s="165">
        <v>0.75</v>
      </c>
      <c r="G22" s="165">
        <v>46.375711574952561</v>
      </c>
      <c r="H22" s="165">
        <v>0.5</v>
      </c>
      <c r="I22" s="167">
        <v>0.161620294599018</v>
      </c>
      <c r="J22" s="165">
        <v>0.75</v>
      </c>
      <c r="K22" s="165">
        <v>26.3</v>
      </c>
      <c r="L22" s="165">
        <v>1.25</v>
      </c>
      <c r="M22" s="165">
        <v>112.15277777777777</v>
      </c>
      <c r="N22" s="165">
        <v>1</v>
      </c>
      <c r="O22" s="167">
        <v>0.22176759410801963</v>
      </c>
      <c r="P22" s="165">
        <v>2</v>
      </c>
      <c r="Q22" s="164">
        <v>8.52</v>
      </c>
      <c r="R22" s="165">
        <v>1</v>
      </c>
      <c r="S22" s="167">
        <v>0.40752111292962356</v>
      </c>
      <c r="T22" s="165">
        <v>1</v>
      </c>
      <c r="U22" s="167">
        <v>0.48046235679214405</v>
      </c>
      <c r="V22" s="165">
        <v>1.5</v>
      </c>
      <c r="W22" s="167">
        <v>0.18009855348911144</v>
      </c>
      <c r="X22" s="165">
        <v>1</v>
      </c>
      <c r="Y22" s="165">
        <v>11.75</v>
      </c>
      <c r="Z22" s="164" t="s">
        <v>230</v>
      </c>
      <c r="AA22" s="165">
        <v>0</v>
      </c>
      <c r="AB22" s="165">
        <v>35.311230065014904</v>
      </c>
      <c r="AC22" s="165">
        <v>1.5</v>
      </c>
      <c r="AD22" s="167">
        <v>6.8311195445920306E-2</v>
      </c>
      <c r="AE22" s="165">
        <v>2.25</v>
      </c>
      <c r="AF22" s="165">
        <v>3.75</v>
      </c>
      <c r="AG22" s="168">
        <v>15.5</v>
      </c>
      <c r="AH22" s="154"/>
      <c r="AI22" s="154"/>
      <c r="AJ22" s="155"/>
      <c r="AK22" s="162"/>
    </row>
    <row r="23" spans="2:37" x14ac:dyDescent="0.25">
      <c r="B23" s="163" t="s">
        <v>245</v>
      </c>
      <c r="C23" s="164">
        <v>2483</v>
      </c>
      <c r="D23" s="165">
        <v>1</v>
      </c>
      <c r="E23" s="166">
        <v>0.95573518090839105</v>
      </c>
      <c r="F23" s="165">
        <v>0.75</v>
      </c>
      <c r="G23" s="165">
        <v>37.004470938897171</v>
      </c>
      <c r="H23" s="165">
        <v>0.5</v>
      </c>
      <c r="I23" s="167">
        <v>0.13934756343133306</v>
      </c>
      <c r="J23" s="165">
        <v>1</v>
      </c>
      <c r="K23" s="165">
        <v>31.4</v>
      </c>
      <c r="L23" s="165">
        <v>1.5</v>
      </c>
      <c r="M23" s="165">
        <v>100.40355125100888</v>
      </c>
      <c r="N23" s="165">
        <v>1</v>
      </c>
      <c r="O23" s="167">
        <v>0.14861055175191301</v>
      </c>
      <c r="P23" s="165">
        <v>1</v>
      </c>
      <c r="Q23" s="164">
        <v>8.33</v>
      </c>
      <c r="R23" s="165">
        <v>1</v>
      </c>
      <c r="S23" s="167">
        <v>0.40875207410390657</v>
      </c>
      <c r="T23" s="165">
        <v>1</v>
      </c>
      <c r="U23" s="167">
        <v>0.42166733789770439</v>
      </c>
      <c r="V23" s="165">
        <v>1.5</v>
      </c>
      <c r="W23" s="167">
        <v>0.13262879788639367</v>
      </c>
      <c r="X23" s="165">
        <v>1</v>
      </c>
      <c r="Y23" s="165">
        <v>11.25</v>
      </c>
      <c r="Z23" s="164" t="s">
        <v>228</v>
      </c>
      <c r="AA23" s="165">
        <v>0.25</v>
      </c>
      <c r="AB23" s="165">
        <v>13.95016275210163</v>
      </c>
      <c r="AC23" s="165">
        <v>1.5</v>
      </c>
      <c r="AD23" s="167">
        <v>0.83144560357675112</v>
      </c>
      <c r="AE23" s="165">
        <v>3.25</v>
      </c>
      <c r="AF23" s="165">
        <v>5</v>
      </c>
      <c r="AG23" s="168">
        <v>16.25</v>
      </c>
      <c r="AH23" s="154"/>
      <c r="AI23" s="154"/>
      <c r="AJ23" s="155"/>
      <c r="AK23" s="162"/>
    </row>
    <row r="24" spans="2:37" x14ac:dyDescent="0.25">
      <c r="B24" s="163" t="s">
        <v>246</v>
      </c>
      <c r="C24" s="164">
        <v>2864</v>
      </c>
      <c r="D24" s="165">
        <v>1</v>
      </c>
      <c r="E24" s="166">
        <v>1.0091613812544045</v>
      </c>
      <c r="F24" s="165">
        <v>0</v>
      </c>
      <c r="G24" s="165">
        <v>131.9815668202765</v>
      </c>
      <c r="H24" s="165">
        <v>0.25</v>
      </c>
      <c r="I24" s="167">
        <v>0.15956703910614525</v>
      </c>
      <c r="J24" s="165">
        <v>0.75</v>
      </c>
      <c r="K24" s="165">
        <v>26.6</v>
      </c>
      <c r="L24" s="165">
        <v>1.25</v>
      </c>
      <c r="M24" s="165">
        <v>99.721059972105991</v>
      </c>
      <c r="N24" s="165">
        <v>0.75</v>
      </c>
      <c r="O24" s="167">
        <v>0.20391061452513967</v>
      </c>
      <c r="P24" s="165">
        <v>2</v>
      </c>
      <c r="Q24" s="164">
        <v>9.5</v>
      </c>
      <c r="R24" s="165">
        <v>1</v>
      </c>
      <c r="S24" s="167">
        <v>0.39829839385474858</v>
      </c>
      <c r="T24" s="165">
        <v>1.25</v>
      </c>
      <c r="U24" s="167">
        <v>0.43610335195530725</v>
      </c>
      <c r="V24" s="165">
        <v>1.5</v>
      </c>
      <c r="W24" s="167">
        <v>8.5548172757475088E-2</v>
      </c>
      <c r="X24" s="165">
        <v>0.5</v>
      </c>
      <c r="Y24" s="165">
        <v>10.25</v>
      </c>
      <c r="Z24" s="164" t="s">
        <v>230</v>
      </c>
      <c r="AA24" s="165">
        <v>0</v>
      </c>
      <c r="AB24" s="165">
        <v>30.8179832102586</v>
      </c>
      <c r="AC24" s="165">
        <v>1.5</v>
      </c>
      <c r="AD24" s="167">
        <v>0.10875576036866359</v>
      </c>
      <c r="AE24" s="165">
        <v>2.75</v>
      </c>
      <c r="AF24" s="165">
        <v>4.25</v>
      </c>
      <c r="AG24" s="168">
        <v>14.5</v>
      </c>
      <c r="AH24" s="154"/>
      <c r="AI24" s="154"/>
      <c r="AJ24" s="155"/>
      <c r="AK24" s="162"/>
    </row>
    <row r="25" spans="2:37" x14ac:dyDescent="0.25">
      <c r="B25" s="163" t="s">
        <v>247</v>
      </c>
      <c r="C25" s="164">
        <v>3450</v>
      </c>
      <c r="D25" s="165">
        <v>0.75</v>
      </c>
      <c r="E25" s="166">
        <v>1.0105448154657293</v>
      </c>
      <c r="F25" s="165">
        <v>0</v>
      </c>
      <c r="G25" s="165">
        <v>121.05263157894737</v>
      </c>
      <c r="H25" s="165">
        <v>0.25</v>
      </c>
      <c r="I25" s="167">
        <v>0.1736231884057971</v>
      </c>
      <c r="J25" s="165">
        <v>0.75</v>
      </c>
      <c r="K25" s="165">
        <v>22</v>
      </c>
      <c r="L25" s="165">
        <v>1</v>
      </c>
      <c r="M25" s="165">
        <v>107.33173076923077</v>
      </c>
      <c r="N25" s="165">
        <v>1</v>
      </c>
      <c r="O25" s="167">
        <v>0.29478260869565215</v>
      </c>
      <c r="P25" s="165">
        <v>2</v>
      </c>
      <c r="Q25" s="164">
        <v>9.69</v>
      </c>
      <c r="R25" s="165">
        <v>1</v>
      </c>
      <c r="S25" s="167">
        <v>0.41230400000000006</v>
      </c>
      <c r="T25" s="165">
        <v>1</v>
      </c>
      <c r="U25" s="167">
        <v>0.5457971014492754</v>
      </c>
      <c r="V25" s="165">
        <v>1.5</v>
      </c>
      <c r="W25" s="167">
        <v>9.3852590923720614E-2</v>
      </c>
      <c r="X25" s="165">
        <v>0.5</v>
      </c>
      <c r="Y25" s="165">
        <v>9.75</v>
      </c>
      <c r="Z25" s="164" t="s">
        <v>230</v>
      </c>
      <c r="AA25" s="165">
        <v>0</v>
      </c>
      <c r="AB25" s="165">
        <v>25.565046409544216</v>
      </c>
      <c r="AC25" s="165">
        <v>1.5</v>
      </c>
      <c r="AD25" s="167">
        <v>8.2807017543859648E-2</v>
      </c>
      <c r="AE25" s="165">
        <v>2.25</v>
      </c>
      <c r="AF25" s="165">
        <v>3.75</v>
      </c>
      <c r="AG25" s="168">
        <v>13.5</v>
      </c>
      <c r="AH25" s="154"/>
      <c r="AI25" s="154"/>
      <c r="AJ25" s="155"/>
      <c r="AK25" s="162"/>
    </row>
    <row r="26" spans="2:37" x14ac:dyDescent="0.25">
      <c r="B26" s="163" t="s">
        <v>248</v>
      </c>
      <c r="C26" s="164">
        <v>1093</v>
      </c>
      <c r="D26" s="165">
        <v>1</v>
      </c>
      <c r="E26" s="166">
        <v>0.95458515283842793</v>
      </c>
      <c r="F26" s="165">
        <v>0.75</v>
      </c>
      <c r="G26" s="165">
        <v>100.27522935779817</v>
      </c>
      <c r="H26" s="165">
        <v>0.25</v>
      </c>
      <c r="I26" s="167">
        <v>0.10704483074107959</v>
      </c>
      <c r="J26" s="165">
        <v>1</v>
      </c>
      <c r="K26" s="165">
        <v>34.6</v>
      </c>
      <c r="L26" s="165">
        <v>1.5</v>
      </c>
      <c r="M26" s="165">
        <v>103.9179104477612</v>
      </c>
      <c r="N26" s="165">
        <v>1</v>
      </c>
      <c r="O26" s="167">
        <v>0.13632204940530648</v>
      </c>
      <c r="P26" s="165">
        <v>1</v>
      </c>
      <c r="Q26" s="164">
        <v>8.75</v>
      </c>
      <c r="R26" s="165">
        <v>1</v>
      </c>
      <c r="S26" s="167">
        <v>0.32736175663311984</v>
      </c>
      <c r="T26" s="165">
        <v>1.5</v>
      </c>
      <c r="U26" s="167">
        <v>0.30878316559926805</v>
      </c>
      <c r="V26" s="165">
        <v>2</v>
      </c>
      <c r="W26" s="167">
        <v>7.1349862258953164E-2</v>
      </c>
      <c r="X26" s="165">
        <v>0.5</v>
      </c>
      <c r="Y26" s="165">
        <v>11.5</v>
      </c>
      <c r="Z26" s="164" t="s">
        <v>230</v>
      </c>
      <c r="AA26" s="165">
        <v>0</v>
      </c>
      <c r="AB26" s="165">
        <v>19.17878128474468</v>
      </c>
      <c r="AC26" s="165">
        <v>1.5</v>
      </c>
      <c r="AD26" s="167">
        <v>0</v>
      </c>
      <c r="AE26" s="165">
        <v>2.25</v>
      </c>
      <c r="AF26" s="165">
        <v>3.75</v>
      </c>
      <c r="AG26" s="168">
        <v>15.25</v>
      </c>
      <c r="AH26" s="154"/>
      <c r="AI26" s="154"/>
      <c r="AJ26" s="155"/>
      <c r="AK26" s="162"/>
    </row>
    <row r="27" spans="2:37" x14ac:dyDescent="0.25">
      <c r="B27" s="163" t="s">
        <v>249</v>
      </c>
      <c r="C27" s="164">
        <v>4131</v>
      </c>
      <c r="D27" s="165">
        <v>0.75</v>
      </c>
      <c r="E27" s="166">
        <v>1.1007194244604317</v>
      </c>
      <c r="F27" s="165">
        <v>0</v>
      </c>
      <c r="G27" s="165">
        <v>308.28358208955223</v>
      </c>
      <c r="H27" s="165">
        <v>0.25</v>
      </c>
      <c r="I27" s="167">
        <v>0.17695473251028807</v>
      </c>
      <c r="J27" s="165">
        <v>0.75</v>
      </c>
      <c r="K27" s="165">
        <v>23.1</v>
      </c>
      <c r="L27" s="165">
        <v>1</v>
      </c>
      <c r="M27" s="165">
        <v>102.10371819960862</v>
      </c>
      <c r="N27" s="165">
        <v>1</v>
      </c>
      <c r="O27" s="167">
        <v>0.15855725006051805</v>
      </c>
      <c r="P27" s="165">
        <v>1.5</v>
      </c>
      <c r="Q27" s="164">
        <v>11.73</v>
      </c>
      <c r="R27" s="165">
        <v>1.75</v>
      </c>
      <c r="S27" s="167">
        <v>0.41355858145727431</v>
      </c>
      <c r="T27" s="165">
        <v>1</v>
      </c>
      <c r="U27" s="167">
        <v>0.40383684337932702</v>
      </c>
      <c r="V27" s="165">
        <v>1.5</v>
      </c>
      <c r="W27" s="167">
        <v>9.3185270546330731E-2</v>
      </c>
      <c r="X27" s="165">
        <v>0.5</v>
      </c>
      <c r="Y27" s="165">
        <v>10</v>
      </c>
      <c r="Z27" s="164" t="s">
        <v>230</v>
      </c>
      <c r="AA27" s="165">
        <v>0</v>
      </c>
      <c r="AB27" s="165">
        <v>11.58978711117846</v>
      </c>
      <c r="AC27" s="165">
        <v>1.25</v>
      </c>
      <c r="AD27" s="167">
        <v>5.9701492537313433E-3</v>
      </c>
      <c r="AE27" s="165">
        <v>2.25</v>
      </c>
      <c r="AF27" s="165">
        <v>3.5</v>
      </c>
      <c r="AG27" s="168">
        <v>13.5</v>
      </c>
      <c r="AH27" s="154"/>
      <c r="AI27" s="154"/>
      <c r="AJ27" s="155"/>
      <c r="AK27" s="162"/>
    </row>
    <row r="28" spans="2:37" x14ac:dyDescent="0.25">
      <c r="B28" s="163" t="s">
        <v>250</v>
      </c>
      <c r="C28" s="164">
        <v>5951</v>
      </c>
      <c r="D28" s="165">
        <v>0.25</v>
      </c>
      <c r="E28" s="166">
        <v>0.98104187273326737</v>
      </c>
      <c r="F28" s="165">
        <v>0.75</v>
      </c>
      <c r="G28" s="165">
        <v>67.319004524886878</v>
      </c>
      <c r="H28" s="165">
        <v>0.25</v>
      </c>
      <c r="I28" s="167">
        <v>0.16081330868761554</v>
      </c>
      <c r="J28" s="165">
        <v>0.75</v>
      </c>
      <c r="K28" s="165">
        <v>24</v>
      </c>
      <c r="L28" s="165">
        <v>1</v>
      </c>
      <c r="M28" s="165">
        <v>102.75979557069847</v>
      </c>
      <c r="N28" s="165">
        <v>1</v>
      </c>
      <c r="O28" s="167">
        <v>0.1883717022349185</v>
      </c>
      <c r="P28" s="165">
        <v>1.5</v>
      </c>
      <c r="Q28" s="164">
        <v>9.8000000000000007</v>
      </c>
      <c r="R28" s="165">
        <v>1</v>
      </c>
      <c r="S28" s="167">
        <v>0.41727383633002851</v>
      </c>
      <c r="T28" s="165">
        <v>1</v>
      </c>
      <c r="U28" s="167">
        <v>0.44055620904049742</v>
      </c>
      <c r="V28" s="165">
        <v>1.5</v>
      </c>
      <c r="W28" s="167">
        <v>7.424475166410649E-2</v>
      </c>
      <c r="X28" s="165">
        <v>0.5</v>
      </c>
      <c r="Y28" s="165">
        <v>9.5</v>
      </c>
      <c r="Z28" s="164" t="s">
        <v>230</v>
      </c>
      <c r="AA28" s="165">
        <v>0</v>
      </c>
      <c r="AB28" s="165">
        <v>35.664153583457605</v>
      </c>
      <c r="AC28" s="165">
        <v>1.5</v>
      </c>
      <c r="AD28" s="167">
        <v>0.20192307692307693</v>
      </c>
      <c r="AE28" s="165">
        <v>3.25</v>
      </c>
      <c r="AF28" s="165">
        <v>4.75</v>
      </c>
      <c r="AG28" s="168">
        <v>14.25</v>
      </c>
      <c r="AH28" s="154"/>
      <c r="AI28" s="154"/>
      <c r="AJ28" s="155"/>
      <c r="AK28" s="162"/>
    </row>
    <row r="29" spans="2:37" x14ac:dyDescent="0.25">
      <c r="B29" s="163" t="s">
        <v>251</v>
      </c>
      <c r="C29" s="164">
        <v>3738</v>
      </c>
      <c r="D29" s="165">
        <v>0.75</v>
      </c>
      <c r="E29" s="166">
        <v>1.033453137959635</v>
      </c>
      <c r="F29" s="165">
        <v>0</v>
      </c>
      <c r="G29" s="165">
        <v>128.89655172413794</v>
      </c>
      <c r="H29" s="165">
        <v>0.25</v>
      </c>
      <c r="I29" s="167">
        <v>0.15302300695559123</v>
      </c>
      <c r="J29" s="165">
        <v>0.75</v>
      </c>
      <c r="K29" s="165">
        <v>24.9</v>
      </c>
      <c r="L29" s="165">
        <v>1</v>
      </c>
      <c r="M29" s="165">
        <v>109.17739227756016</v>
      </c>
      <c r="N29" s="165">
        <v>1</v>
      </c>
      <c r="O29" s="167">
        <v>0.19636169074371321</v>
      </c>
      <c r="P29" s="165">
        <v>1.5</v>
      </c>
      <c r="Q29" s="164">
        <v>9.7200000000000006</v>
      </c>
      <c r="R29" s="165">
        <v>1</v>
      </c>
      <c r="S29" s="167">
        <v>0.41650080256821831</v>
      </c>
      <c r="T29" s="165">
        <v>1</v>
      </c>
      <c r="U29" s="167">
        <v>0.46013911182450506</v>
      </c>
      <c r="V29" s="165">
        <v>1.5</v>
      </c>
      <c r="W29" s="167">
        <v>0.18226041835576456</v>
      </c>
      <c r="X29" s="165">
        <v>1</v>
      </c>
      <c r="Y29" s="165">
        <v>9.75</v>
      </c>
      <c r="Z29" s="164" t="s">
        <v>230</v>
      </c>
      <c r="AA29" s="165">
        <v>0</v>
      </c>
      <c r="AB29" s="165">
        <v>16.043645744509973</v>
      </c>
      <c r="AC29" s="165">
        <v>1.5</v>
      </c>
      <c r="AD29" s="167">
        <v>1.3793103448275864E-2</v>
      </c>
      <c r="AE29" s="165">
        <v>2.25</v>
      </c>
      <c r="AF29" s="165">
        <v>3.75</v>
      </c>
      <c r="AG29" s="168">
        <v>13.5</v>
      </c>
      <c r="AH29" s="154"/>
      <c r="AI29" s="154"/>
      <c r="AJ29" s="155"/>
      <c r="AK29" s="162"/>
    </row>
    <row r="30" spans="2:37" x14ac:dyDescent="0.25">
      <c r="B30" s="163" t="s">
        <v>385</v>
      </c>
      <c r="C30" s="164">
        <v>6344</v>
      </c>
      <c r="D30" s="165">
        <v>0.25</v>
      </c>
      <c r="E30" s="166">
        <v>1.008</v>
      </c>
      <c r="F30" s="165">
        <v>0</v>
      </c>
      <c r="G30" s="165">
        <v>301</v>
      </c>
      <c r="H30" s="165">
        <v>0.25</v>
      </c>
      <c r="I30" s="167">
        <v>0.15509999999999999</v>
      </c>
      <c r="J30" s="165">
        <v>0.75</v>
      </c>
      <c r="K30" s="165">
        <v>24.9</v>
      </c>
      <c r="L30" s="165">
        <v>1</v>
      </c>
      <c r="M30" s="165">
        <v>97.63</v>
      </c>
      <c r="N30" s="165">
        <v>0.75</v>
      </c>
      <c r="O30" s="167">
        <v>0.14499999999999999</v>
      </c>
      <c r="P30" s="165">
        <v>1</v>
      </c>
      <c r="Q30" s="164">
        <v>10.029999999999999</v>
      </c>
      <c r="R30" s="165">
        <v>1.75</v>
      </c>
      <c r="S30" s="167">
        <v>0.44550000000000001</v>
      </c>
      <c r="T30" s="165">
        <v>1</v>
      </c>
      <c r="U30" s="167">
        <v>0.44550000000000001</v>
      </c>
      <c r="V30" s="165">
        <v>1.5</v>
      </c>
      <c r="W30" s="167">
        <v>4.1399999999999999E-2</v>
      </c>
      <c r="X30" s="165">
        <v>0.5</v>
      </c>
      <c r="Y30" s="165">
        <v>8.75</v>
      </c>
      <c r="Z30" s="164" t="s">
        <v>230</v>
      </c>
      <c r="AA30" s="165">
        <v>0</v>
      </c>
      <c r="AB30" s="165">
        <v>46.6</v>
      </c>
      <c r="AC30" s="165">
        <v>1.5</v>
      </c>
      <c r="AD30" s="167">
        <v>0</v>
      </c>
      <c r="AE30" s="165">
        <v>2.75</v>
      </c>
      <c r="AF30" s="165">
        <f>SUM(AE30+AC30)</f>
        <v>4.25</v>
      </c>
      <c r="AG30" s="168">
        <v>13</v>
      </c>
      <c r="AH30" s="154"/>
      <c r="AI30" s="154"/>
      <c r="AJ30" s="155"/>
      <c r="AK30" s="162"/>
    </row>
    <row r="31" spans="2:37" x14ac:dyDescent="0.25">
      <c r="B31" s="163" t="s">
        <v>252</v>
      </c>
      <c r="C31" s="164">
        <v>37042</v>
      </c>
      <c r="D31" s="165">
        <v>0</v>
      </c>
      <c r="E31" s="166">
        <v>1.0503005557445844</v>
      </c>
      <c r="F31" s="165">
        <v>0</v>
      </c>
      <c r="G31" s="165">
        <v>171.72925359295317</v>
      </c>
      <c r="H31" s="165">
        <v>0.25</v>
      </c>
      <c r="I31" s="167">
        <v>0.15898169645267535</v>
      </c>
      <c r="J31" s="165">
        <v>0.75</v>
      </c>
      <c r="K31" s="165">
        <v>23.8</v>
      </c>
      <c r="L31" s="165">
        <v>1</v>
      </c>
      <c r="M31" s="165">
        <v>97.757727830868618</v>
      </c>
      <c r="N31" s="165">
        <v>0.75</v>
      </c>
      <c r="O31" s="167">
        <v>0.2164030019977323</v>
      </c>
      <c r="P31" s="165">
        <v>2</v>
      </c>
      <c r="Q31" s="164">
        <v>10.84</v>
      </c>
      <c r="R31" s="165">
        <v>1.75</v>
      </c>
      <c r="S31" s="167">
        <v>0.40462408077317641</v>
      </c>
      <c r="T31" s="165">
        <v>1</v>
      </c>
      <c r="U31" s="167">
        <v>0.38878165325846337</v>
      </c>
      <c r="V31" s="165">
        <v>1.75</v>
      </c>
      <c r="W31" s="167">
        <v>3.5322769514413141E-2</v>
      </c>
      <c r="X31" s="165">
        <v>0.5</v>
      </c>
      <c r="Y31" s="165">
        <v>9.75</v>
      </c>
      <c r="Z31" s="164" t="s">
        <v>230</v>
      </c>
      <c r="AA31" s="165">
        <v>0</v>
      </c>
      <c r="AB31" s="165">
        <v>0</v>
      </c>
      <c r="AC31" s="165">
        <v>1.25</v>
      </c>
      <c r="AD31" s="167">
        <v>0.19058878071395458</v>
      </c>
      <c r="AE31" s="165">
        <v>2.75</v>
      </c>
      <c r="AF31" s="165">
        <v>4</v>
      </c>
      <c r="AG31" s="168">
        <v>13.75</v>
      </c>
      <c r="AH31" s="154"/>
      <c r="AI31" s="154"/>
      <c r="AJ31" s="155"/>
      <c r="AK31" s="162"/>
    </row>
    <row r="32" spans="2:37" x14ac:dyDescent="0.25">
      <c r="B32" s="163" t="s">
        <v>253</v>
      </c>
      <c r="C32" s="164">
        <v>132</v>
      </c>
      <c r="D32" s="165">
        <v>1.5</v>
      </c>
      <c r="E32" s="166">
        <v>1.064516129032258</v>
      </c>
      <c r="F32" s="165">
        <v>0</v>
      </c>
      <c r="G32" s="165">
        <v>34.736842105263158</v>
      </c>
      <c r="H32" s="165">
        <v>0.5</v>
      </c>
      <c r="I32" s="167">
        <v>9.8484848484848481E-2</v>
      </c>
      <c r="J32" s="165">
        <v>1</v>
      </c>
      <c r="K32" s="165">
        <v>36.4</v>
      </c>
      <c r="L32" s="165">
        <v>1.5</v>
      </c>
      <c r="M32" s="165">
        <v>78.378378378378372</v>
      </c>
      <c r="N32" s="165">
        <v>0.75</v>
      </c>
      <c r="O32" s="167">
        <v>0.25</v>
      </c>
      <c r="P32" s="165">
        <v>2</v>
      </c>
      <c r="Q32" s="164">
        <v>11.11</v>
      </c>
      <c r="R32" s="165">
        <v>1.75</v>
      </c>
      <c r="S32" s="167">
        <v>0.33770454545454542</v>
      </c>
      <c r="T32" s="165">
        <v>1.5</v>
      </c>
      <c r="U32" s="167">
        <v>0.28030303030303028</v>
      </c>
      <c r="V32" s="165">
        <v>2</v>
      </c>
      <c r="W32" s="167">
        <v>0.19121447028423774</v>
      </c>
      <c r="X32" s="165">
        <v>1</v>
      </c>
      <c r="Y32" s="165">
        <v>13.5</v>
      </c>
      <c r="Z32" s="164" t="s">
        <v>228</v>
      </c>
      <c r="AA32" s="165">
        <v>0.25</v>
      </c>
      <c r="AB32" s="165">
        <v>16.963759873546675</v>
      </c>
      <c r="AC32" s="165">
        <v>1.5</v>
      </c>
      <c r="AD32" s="167">
        <v>0</v>
      </c>
      <c r="AE32" s="165">
        <v>2.25</v>
      </c>
      <c r="AF32" s="165">
        <v>4</v>
      </c>
      <c r="AG32" s="168">
        <v>17.5</v>
      </c>
      <c r="AH32" s="154"/>
      <c r="AI32" s="154"/>
      <c r="AJ32" s="155"/>
      <c r="AK32" s="162"/>
    </row>
    <row r="33" spans="1:37" x14ac:dyDescent="0.25">
      <c r="B33" s="163" t="s">
        <v>254</v>
      </c>
      <c r="C33" s="164">
        <v>2430</v>
      </c>
      <c r="D33" s="165">
        <v>1</v>
      </c>
      <c r="E33" s="166">
        <v>0.94847775175644033</v>
      </c>
      <c r="F33" s="165">
        <v>0.75</v>
      </c>
      <c r="G33" s="165">
        <v>48.697394789579157</v>
      </c>
      <c r="H33" s="165">
        <v>0.5</v>
      </c>
      <c r="I33" s="167">
        <v>0.14115226337448561</v>
      </c>
      <c r="J33" s="165">
        <v>1</v>
      </c>
      <c r="K33" s="165">
        <v>32</v>
      </c>
      <c r="L33" s="165">
        <v>1.5</v>
      </c>
      <c r="M33" s="165">
        <v>101.99501246882794</v>
      </c>
      <c r="N33" s="165">
        <v>1</v>
      </c>
      <c r="O33" s="167">
        <v>0.16502057613168725</v>
      </c>
      <c r="P33" s="165">
        <v>1.5</v>
      </c>
      <c r="Q33" s="164">
        <v>9.01</v>
      </c>
      <c r="R33" s="165">
        <v>1</v>
      </c>
      <c r="S33" s="167">
        <v>0.39997432098765429</v>
      </c>
      <c r="T33" s="165">
        <v>1.25</v>
      </c>
      <c r="U33" s="167">
        <v>0.46141975308641975</v>
      </c>
      <c r="V33" s="165">
        <v>1.5</v>
      </c>
      <c r="W33" s="167">
        <v>0.15531914893617021</v>
      </c>
      <c r="X33" s="165">
        <v>1</v>
      </c>
      <c r="Y33" s="165">
        <v>12</v>
      </c>
      <c r="Z33" s="164" t="s">
        <v>230</v>
      </c>
      <c r="AA33" s="165">
        <v>0</v>
      </c>
      <c r="AB33" s="165">
        <v>16.315833600111468</v>
      </c>
      <c r="AC33" s="165">
        <v>1.5</v>
      </c>
      <c r="AD33" s="167">
        <v>0.27515030060120244</v>
      </c>
      <c r="AE33" s="165">
        <v>3.25</v>
      </c>
      <c r="AF33" s="165">
        <v>4.75</v>
      </c>
      <c r="AG33" s="168">
        <v>16.75</v>
      </c>
      <c r="AH33" s="154"/>
      <c r="AI33" s="154"/>
      <c r="AJ33" s="155"/>
      <c r="AK33" s="162"/>
    </row>
    <row r="34" spans="1:37" ht="15.75" thickBot="1" x14ac:dyDescent="0.3">
      <c r="B34" s="169" t="s">
        <v>255</v>
      </c>
      <c r="C34" s="170">
        <v>2883</v>
      </c>
      <c r="D34" s="171">
        <v>1</v>
      </c>
      <c r="E34" s="172">
        <v>0.96196196196196193</v>
      </c>
      <c r="F34" s="171">
        <v>0.75</v>
      </c>
      <c r="G34" s="171">
        <v>61.602564102564109</v>
      </c>
      <c r="H34" s="171">
        <v>0.25</v>
      </c>
      <c r="I34" s="173">
        <v>0.16614637530350329</v>
      </c>
      <c r="J34" s="171">
        <v>0.75</v>
      </c>
      <c r="K34" s="171">
        <v>25.6</v>
      </c>
      <c r="L34" s="171">
        <v>1.25</v>
      </c>
      <c r="M34" s="171">
        <v>102.17391304347827</v>
      </c>
      <c r="N34" s="171">
        <v>1</v>
      </c>
      <c r="O34" s="173">
        <v>0.25563648976760317</v>
      </c>
      <c r="P34" s="171">
        <v>2</v>
      </c>
      <c r="Q34" s="170">
        <v>10.050000000000001</v>
      </c>
      <c r="R34" s="171">
        <v>1.75</v>
      </c>
      <c r="S34" s="173">
        <v>0.40657648283038506</v>
      </c>
      <c r="T34" s="171">
        <v>1</v>
      </c>
      <c r="U34" s="173">
        <v>0.51829691293791191</v>
      </c>
      <c r="V34" s="171">
        <v>1.5</v>
      </c>
      <c r="W34" s="173">
        <v>0.14284711990458152</v>
      </c>
      <c r="X34" s="171">
        <v>1</v>
      </c>
      <c r="Y34" s="171">
        <v>12.25</v>
      </c>
      <c r="Z34" s="170" t="s">
        <v>230</v>
      </c>
      <c r="AA34" s="171">
        <v>0</v>
      </c>
      <c r="AB34" s="171">
        <v>26.441012261874555</v>
      </c>
      <c r="AC34" s="171">
        <v>1.5</v>
      </c>
      <c r="AD34" s="173">
        <v>6.623931623931624E-2</v>
      </c>
      <c r="AE34" s="171">
        <v>2.25</v>
      </c>
      <c r="AF34" s="171">
        <v>3.75</v>
      </c>
      <c r="AG34" s="174">
        <v>16</v>
      </c>
      <c r="AH34" s="154"/>
      <c r="AI34" s="154"/>
      <c r="AJ34" s="155"/>
      <c r="AK34" s="162"/>
    </row>
    <row r="35" spans="1:37" x14ac:dyDescent="0.25">
      <c r="B35" s="175" t="s">
        <v>61</v>
      </c>
      <c r="AF35" s="162"/>
      <c r="AG35" s="162">
        <f>MROUND(AH35,0.25)</f>
        <v>15.25</v>
      </c>
      <c r="AH35" s="154">
        <f>AVERAGE(AG7:AG34)</f>
        <v>15.196428571428571</v>
      </c>
    </row>
    <row r="36" spans="1:37" x14ac:dyDescent="0.25">
      <c r="B36">
        <v>1</v>
      </c>
      <c r="C36" s="176">
        <v>2</v>
      </c>
      <c r="D36" s="177">
        <v>3</v>
      </c>
      <c r="E36">
        <v>4</v>
      </c>
      <c r="F36" s="178">
        <v>5</v>
      </c>
      <c r="G36" s="179">
        <v>6</v>
      </c>
      <c r="H36">
        <v>7</v>
      </c>
      <c r="I36" s="176">
        <v>8</v>
      </c>
      <c r="J36" s="179">
        <v>9</v>
      </c>
      <c r="K36">
        <v>10</v>
      </c>
      <c r="L36" s="176">
        <v>11</v>
      </c>
      <c r="M36" s="179">
        <v>12</v>
      </c>
      <c r="N36">
        <v>13</v>
      </c>
      <c r="O36" s="176">
        <v>14</v>
      </c>
      <c r="P36" s="179">
        <v>15</v>
      </c>
      <c r="Q36">
        <v>16</v>
      </c>
      <c r="R36" s="176">
        <v>17</v>
      </c>
      <c r="S36" s="179">
        <v>18</v>
      </c>
      <c r="T36">
        <v>19</v>
      </c>
      <c r="U36" s="176">
        <v>20</v>
      </c>
      <c r="V36" s="179">
        <v>21</v>
      </c>
      <c r="W36">
        <v>22</v>
      </c>
      <c r="X36" s="176">
        <v>23</v>
      </c>
      <c r="Y36" s="179">
        <v>24</v>
      </c>
      <c r="Z36">
        <v>25</v>
      </c>
      <c r="AA36" s="176">
        <v>26</v>
      </c>
      <c r="AB36" s="179">
        <v>27</v>
      </c>
      <c r="AC36">
        <v>28</v>
      </c>
      <c r="AD36" s="176">
        <v>29</v>
      </c>
      <c r="AE36" s="179">
        <v>30</v>
      </c>
      <c r="AF36">
        <v>31</v>
      </c>
      <c r="AG36" s="176">
        <v>32</v>
      </c>
    </row>
    <row r="38" spans="1:37" ht="24" customHeight="1" x14ac:dyDescent="0.25">
      <c r="A38" s="368" t="s">
        <v>256</v>
      </c>
      <c r="B38" s="369"/>
      <c r="C38" s="369"/>
      <c r="D38" s="369"/>
      <c r="E38" s="369"/>
      <c r="F38" s="369"/>
      <c r="G38" s="369"/>
      <c r="H38" s="369"/>
      <c r="I38" s="369"/>
      <c r="J38" s="369"/>
      <c r="K38" s="369"/>
      <c r="L38" s="369"/>
      <c r="M38" s="369"/>
      <c r="N38" s="369"/>
      <c r="O38" s="369"/>
      <c r="P38" s="369"/>
      <c r="Q38" s="369"/>
      <c r="R38" s="369"/>
      <c r="S38" s="369"/>
      <c r="T38" s="369"/>
      <c r="U38" s="369"/>
      <c r="V38" s="369"/>
      <c r="W38" s="369"/>
      <c r="X38" s="369"/>
    </row>
    <row r="39" spans="1:37" ht="15.75" thickBot="1" x14ac:dyDescent="0.3"/>
    <row r="40" spans="1:37" ht="15.75" thickBot="1" x14ac:dyDescent="0.3">
      <c r="B40" s="180" t="s">
        <v>24</v>
      </c>
      <c r="C40" s="181" t="s">
        <v>257</v>
      </c>
      <c r="D40" s="181" t="s">
        <v>26</v>
      </c>
      <c r="E40" s="181" t="s">
        <v>258</v>
      </c>
      <c r="F40" s="182" t="s">
        <v>259</v>
      </c>
      <c r="AE40" s="183"/>
      <c r="AF40" s="143"/>
    </row>
    <row r="41" spans="1:37" ht="30" customHeight="1" x14ac:dyDescent="0.25">
      <c r="B41" s="370" t="s">
        <v>260</v>
      </c>
      <c r="C41" s="373" t="s">
        <v>261</v>
      </c>
      <c r="D41" s="375" t="s">
        <v>324</v>
      </c>
      <c r="E41" s="264" t="s">
        <v>325</v>
      </c>
      <c r="F41" s="184">
        <v>2</v>
      </c>
      <c r="AE41" s="183"/>
    </row>
    <row r="42" spans="1:37" ht="30" customHeight="1" x14ac:dyDescent="0.25">
      <c r="B42" s="371"/>
      <c r="C42" s="376"/>
      <c r="D42" s="320"/>
      <c r="E42" s="268" t="s">
        <v>326</v>
      </c>
      <c r="F42" s="188">
        <v>2</v>
      </c>
      <c r="AE42" s="183"/>
    </row>
    <row r="43" spans="1:37" ht="30" customHeight="1" x14ac:dyDescent="0.25">
      <c r="B43" s="371"/>
      <c r="C43" s="374"/>
      <c r="D43" s="376"/>
      <c r="E43" s="265" t="s">
        <v>327</v>
      </c>
      <c r="F43" s="185">
        <v>0</v>
      </c>
      <c r="AE43" s="183"/>
    </row>
    <row r="44" spans="1:37" ht="30" customHeight="1" x14ac:dyDescent="0.25">
      <c r="B44" s="371"/>
      <c r="C44" s="374"/>
      <c r="D44" s="377" t="s">
        <v>328</v>
      </c>
      <c r="E44" s="265" t="s">
        <v>329</v>
      </c>
      <c r="F44" s="185">
        <v>2</v>
      </c>
      <c r="AE44" s="183"/>
    </row>
    <row r="45" spans="1:37" ht="30" customHeight="1" x14ac:dyDescent="0.25">
      <c r="B45" s="371"/>
      <c r="C45" s="374"/>
      <c r="D45" s="320"/>
      <c r="E45" s="265" t="s">
        <v>330</v>
      </c>
      <c r="F45" s="185">
        <v>1</v>
      </c>
      <c r="AE45" s="183"/>
    </row>
    <row r="46" spans="1:37" ht="30" customHeight="1" thickBot="1" x14ac:dyDescent="0.3">
      <c r="B46" s="371"/>
      <c r="C46" s="374"/>
      <c r="D46" s="376"/>
      <c r="E46" s="265" t="s">
        <v>331</v>
      </c>
      <c r="F46" s="185">
        <v>0</v>
      </c>
      <c r="AE46" s="183"/>
    </row>
    <row r="47" spans="1:37" ht="30" customHeight="1" x14ac:dyDescent="0.25">
      <c r="B47" s="382" t="s">
        <v>267</v>
      </c>
      <c r="C47" s="386" t="s">
        <v>268</v>
      </c>
      <c r="D47" s="375" t="s">
        <v>332</v>
      </c>
      <c r="E47" s="264" t="s">
        <v>333</v>
      </c>
      <c r="F47" s="184">
        <v>2</v>
      </c>
      <c r="AE47" s="183"/>
      <c r="AF47" s="186"/>
    </row>
    <row r="48" spans="1:37" ht="30" customHeight="1" x14ac:dyDescent="0.25">
      <c r="B48" s="396"/>
      <c r="C48" s="397"/>
      <c r="D48" s="320"/>
      <c r="E48" s="268" t="s">
        <v>334</v>
      </c>
      <c r="F48" s="188">
        <v>2</v>
      </c>
      <c r="AE48" s="183"/>
      <c r="AF48" s="186"/>
    </row>
    <row r="49" spans="2:32" ht="30" customHeight="1" x14ac:dyDescent="0.25">
      <c r="B49" s="383"/>
      <c r="C49" s="387"/>
      <c r="D49" s="376"/>
      <c r="E49" s="265" t="s">
        <v>335</v>
      </c>
      <c r="F49" s="185">
        <v>0</v>
      </c>
      <c r="AE49" s="183"/>
      <c r="AF49" s="186"/>
    </row>
    <row r="50" spans="2:32" ht="30" customHeight="1" x14ac:dyDescent="0.25">
      <c r="B50" s="383"/>
      <c r="C50" s="387"/>
      <c r="D50" s="377" t="s">
        <v>336</v>
      </c>
      <c r="E50" s="265" t="s">
        <v>329</v>
      </c>
      <c r="F50" s="185">
        <v>2</v>
      </c>
      <c r="AE50" s="183"/>
      <c r="AF50" s="186"/>
    </row>
    <row r="51" spans="2:32" ht="30" customHeight="1" x14ac:dyDescent="0.25">
      <c r="B51" s="384"/>
      <c r="C51" s="398"/>
      <c r="D51" s="320"/>
      <c r="E51" s="265" t="s">
        <v>330</v>
      </c>
      <c r="F51" s="193">
        <v>1</v>
      </c>
      <c r="AE51" s="183"/>
      <c r="AF51" s="186"/>
    </row>
    <row r="52" spans="2:32" ht="30" customHeight="1" thickBot="1" x14ac:dyDescent="0.3">
      <c r="B52" s="385"/>
      <c r="C52" s="388"/>
      <c r="D52" s="321"/>
      <c r="E52" s="265" t="s">
        <v>386</v>
      </c>
      <c r="F52" s="187">
        <v>0</v>
      </c>
    </row>
    <row r="53" spans="2:32" ht="15" customHeight="1" x14ac:dyDescent="0.25">
      <c r="B53" s="382" t="s">
        <v>271</v>
      </c>
      <c r="C53" s="373" t="s">
        <v>272</v>
      </c>
      <c r="D53" s="375" t="s">
        <v>337</v>
      </c>
      <c r="E53" s="264" t="s">
        <v>338</v>
      </c>
      <c r="F53" s="184">
        <v>2</v>
      </c>
    </row>
    <row r="54" spans="2:32" ht="15" customHeight="1" x14ac:dyDescent="0.25">
      <c r="B54" s="396"/>
      <c r="C54" s="376"/>
      <c r="D54" s="320"/>
      <c r="E54" s="268" t="s">
        <v>339</v>
      </c>
      <c r="F54" s="188">
        <v>2</v>
      </c>
    </row>
    <row r="55" spans="2:32" x14ac:dyDescent="0.25">
      <c r="B55" s="383"/>
      <c r="C55" s="374"/>
      <c r="D55" s="376"/>
      <c r="E55" s="265" t="s">
        <v>340</v>
      </c>
      <c r="F55" s="185">
        <v>0</v>
      </c>
    </row>
    <row r="56" spans="2:32" x14ac:dyDescent="0.25">
      <c r="B56" s="384"/>
      <c r="C56" s="377"/>
      <c r="D56" s="377" t="s">
        <v>341</v>
      </c>
      <c r="E56" s="265" t="s">
        <v>342</v>
      </c>
      <c r="F56" s="185">
        <v>2</v>
      </c>
    </row>
    <row r="57" spans="2:32" x14ac:dyDescent="0.25">
      <c r="B57" s="384"/>
      <c r="C57" s="377"/>
      <c r="D57" s="320"/>
      <c r="E57" s="265" t="s">
        <v>343</v>
      </c>
      <c r="F57" s="193">
        <v>1</v>
      </c>
    </row>
    <row r="58" spans="2:32" ht="15.75" thickBot="1" x14ac:dyDescent="0.3">
      <c r="B58" s="385"/>
      <c r="C58" s="378"/>
      <c r="D58" s="321"/>
      <c r="E58" s="265" t="s">
        <v>344</v>
      </c>
      <c r="F58" s="187">
        <v>0</v>
      </c>
    </row>
    <row r="59" spans="2:32" x14ac:dyDescent="0.25">
      <c r="B59" s="382" t="s">
        <v>275</v>
      </c>
      <c r="C59" s="373" t="s">
        <v>276</v>
      </c>
      <c r="D59" s="386" t="s">
        <v>277</v>
      </c>
      <c r="E59" s="264" t="s">
        <v>56</v>
      </c>
      <c r="F59" s="184">
        <v>0</v>
      </c>
    </row>
    <row r="60" spans="2:32" x14ac:dyDescent="0.25">
      <c r="B60" s="383"/>
      <c r="C60" s="374"/>
      <c r="D60" s="387"/>
      <c r="E60" s="265" t="s">
        <v>278</v>
      </c>
      <c r="F60" s="185">
        <v>1</v>
      </c>
    </row>
    <row r="61" spans="2:32" x14ac:dyDescent="0.25">
      <c r="B61" s="383"/>
      <c r="C61" s="374"/>
      <c r="D61" s="387"/>
      <c r="E61" s="265" t="s">
        <v>279</v>
      </c>
      <c r="F61" s="185">
        <v>2</v>
      </c>
    </row>
    <row r="62" spans="2:32" ht="15.75" thickBot="1" x14ac:dyDescent="0.3">
      <c r="B62" s="385"/>
      <c r="C62" s="378"/>
      <c r="D62" s="388"/>
      <c r="E62" s="267" t="s">
        <v>280</v>
      </c>
      <c r="F62" s="187">
        <v>3</v>
      </c>
    </row>
    <row r="64" spans="2:32" ht="15.75" thickBot="1" x14ac:dyDescent="0.3"/>
    <row r="65" spans="2:6" ht="15.75" thickBot="1" x14ac:dyDescent="0.3">
      <c r="B65" s="189" t="s">
        <v>24</v>
      </c>
      <c r="C65" s="190" t="s">
        <v>257</v>
      </c>
      <c r="D65" s="190" t="s">
        <v>26</v>
      </c>
      <c r="E65" s="190" t="s">
        <v>258</v>
      </c>
      <c r="F65" s="191" t="s">
        <v>259</v>
      </c>
    </row>
    <row r="66" spans="2:6" x14ac:dyDescent="0.25">
      <c r="B66" s="392" t="s">
        <v>286</v>
      </c>
      <c r="C66" s="386" t="s">
        <v>345</v>
      </c>
      <c r="D66" s="386" t="s">
        <v>346</v>
      </c>
      <c r="E66" s="192" t="s">
        <v>37</v>
      </c>
      <c r="F66" s="184">
        <v>10</v>
      </c>
    </row>
    <row r="67" spans="2:6" ht="15.75" thickBot="1" x14ac:dyDescent="0.3">
      <c r="B67" s="393"/>
      <c r="C67" s="387"/>
      <c r="D67" s="387"/>
      <c r="E67" s="164" t="s">
        <v>132</v>
      </c>
      <c r="F67" s="185">
        <v>0</v>
      </c>
    </row>
    <row r="68" spans="2:6" x14ac:dyDescent="0.25">
      <c r="B68" s="370" t="s">
        <v>290</v>
      </c>
      <c r="C68" s="389" t="s">
        <v>291</v>
      </c>
      <c r="D68" s="386" t="s">
        <v>347</v>
      </c>
      <c r="E68" s="192" t="s">
        <v>348</v>
      </c>
      <c r="F68" s="184">
        <v>5</v>
      </c>
    </row>
    <row r="69" spans="2:6" x14ac:dyDescent="0.25">
      <c r="B69" s="371"/>
      <c r="C69" s="400"/>
      <c r="D69" s="397"/>
      <c r="E69" s="157" t="s">
        <v>349</v>
      </c>
      <c r="F69" s="188">
        <v>3</v>
      </c>
    </row>
    <row r="70" spans="2:6" x14ac:dyDescent="0.25">
      <c r="B70" s="371"/>
      <c r="C70" s="390"/>
      <c r="D70" s="387"/>
      <c r="E70" s="164" t="s">
        <v>132</v>
      </c>
      <c r="F70" s="185">
        <v>0</v>
      </c>
    </row>
    <row r="71" spans="2:6" x14ac:dyDescent="0.25">
      <c r="B71" s="371"/>
      <c r="C71" s="390" t="s">
        <v>293</v>
      </c>
      <c r="D71" s="387" t="s">
        <v>294</v>
      </c>
      <c r="E71" s="164" t="s">
        <v>37</v>
      </c>
      <c r="F71" s="185">
        <v>5</v>
      </c>
    </row>
    <row r="72" spans="2:6" ht="42.75" customHeight="1" thickBot="1" x14ac:dyDescent="0.3">
      <c r="B72" s="372"/>
      <c r="C72" s="395"/>
      <c r="D72" s="388"/>
      <c r="E72" s="170" t="s">
        <v>132</v>
      </c>
      <c r="F72" s="187">
        <v>0</v>
      </c>
    </row>
    <row r="73" spans="2:6" ht="15" customHeight="1" x14ac:dyDescent="0.25">
      <c r="B73" s="382" t="s">
        <v>295</v>
      </c>
      <c r="C73" s="386" t="s">
        <v>296</v>
      </c>
      <c r="D73" s="386" t="s">
        <v>297</v>
      </c>
      <c r="E73" s="192" t="s">
        <v>298</v>
      </c>
      <c r="F73" s="184">
        <v>0</v>
      </c>
    </row>
    <row r="74" spans="2:6" ht="15" customHeight="1" x14ac:dyDescent="0.25">
      <c r="B74" s="396"/>
      <c r="C74" s="397"/>
      <c r="D74" s="397"/>
      <c r="E74" s="157" t="s">
        <v>299</v>
      </c>
      <c r="F74" s="188">
        <v>3</v>
      </c>
    </row>
    <row r="75" spans="2:6" ht="15" customHeight="1" x14ac:dyDescent="0.25">
      <c r="B75" s="396"/>
      <c r="C75" s="397"/>
      <c r="D75" s="397"/>
      <c r="E75" s="157" t="s">
        <v>300</v>
      </c>
      <c r="F75" s="188">
        <v>3</v>
      </c>
    </row>
    <row r="76" spans="2:6" x14ac:dyDescent="0.25">
      <c r="B76" s="383"/>
      <c r="C76" s="387"/>
      <c r="D76" s="387"/>
      <c r="E76" s="164" t="s">
        <v>118</v>
      </c>
      <c r="F76" s="185">
        <v>5</v>
      </c>
    </row>
    <row r="77" spans="2:6" x14ac:dyDescent="0.25">
      <c r="B77" s="383"/>
      <c r="C77" s="387"/>
      <c r="D77" s="387" t="s">
        <v>301</v>
      </c>
      <c r="E77" s="164" t="s">
        <v>302</v>
      </c>
      <c r="F77" s="185">
        <v>0</v>
      </c>
    </row>
    <row r="78" spans="2:6" x14ac:dyDescent="0.25">
      <c r="B78" s="383"/>
      <c r="C78" s="387"/>
      <c r="D78" s="387"/>
      <c r="E78" s="164" t="s">
        <v>303</v>
      </c>
      <c r="F78" s="185">
        <v>2</v>
      </c>
    </row>
    <row r="79" spans="2:6" x14ac:dyDescent="0.25">
      <c r="B79" s="383"/>
      <c r="C79" s="387"/>
      <c r="D79" s="387"/>
      <c r="E79" s="164" t="s">
        <v>121</v>
      </c>
      <c r="F79" s="185">
        <v>5</v>
      </c>
    </row>
    <row r="80" spans="2:6" x14ac:dyDescent="0.25">
      <c r="B80" s="383"/>
      <c r="C80" s="377" t="s">
        <v>304</v>
      </c>
      <c r="D80" s="398" t="s">
        <v>305</v>
      </c>
      <c r="E80" s="164" t="s">
        <v>121</v>
      </c>
      <c r="F80" s="185">
        <v>2</v>
      </c>
    </row>
    <row r="81" spans="2:6" x14ac:dyDescent="0.25">
      <c r="B81" s="383"/>
      <c r="C81" s="320"/>
      <c r="D81" s="399"/>
      <c r="E81" s="164" t="s">
        <v>303</v>
      </c>
      <c r="F81" s="185">
        <v>1</v>
      </c>
    </row>
    <row r="82" spans="2:6" x14ac:dyDescent="0.25">
      <c r="B82" s="383"/>
      <c r="C82" s="320"/>
      <c r="D82" s="397"/>
      <c r="E82" s="164" t="s">
        <v>306</v>
      </c>
      <c r="F82" s="185">
        <v>0</v>
      </c>
    </row>
    <row r="83" spans="2:6" x14ac:dyDescent="0.25">
      <c r="B83" s="383"/>
      <c r="C83" s="320"/>
      <c r="D83" s="387" t="s">
        <v>307</v>
      </c>
      <c r="E83" s="164" t="s">
        <v>121</v>
      </c>
      <c r="F83" s="185">
        <v>2</v>
      </c>
    </row>
    <row r="84" spans="2:6" x14ac:dyDescent="0.25">
      <c r="B84" s="383"/>
      <c r="C84" s="320"/>
      <c r="D84" s="387"/>
      <c r="E84" s="164" t="s">
        <v>303</v>
      </c>
      <c r="F84" s="185">
        <v>1</v>
      </c>
    </row>
    <row r="85" spans="2:6" ht="15.75" thickBot="1" x14ac:dyDescent="0.3">
      <c r="B85" s="385"/>
      <c r="C85" s="321"/>
      <c r="D85" s="388"/>
      <c r="E85" s="170" t="s">
        <v>298</v>
      </c>
      <c r="F85" s="187">
        <v>0</v>
      </c>
    </row>
    <row r="87" spans="2:6" ht="15.75" thickBot="1" x14ac:dyDescent="0.3"/>
    <row r="88" spans="2:6" ht="15.75" thickBot="1" x14ac:dyDescent="0.3">
      <c r="B88" s="189" t="s">
        <v>24</v>
      </c>
      <c r="C88" s="190" t="s">
        <v>257</v>
      </c>
      <c r="D88" s="190" t="s">
        <v>26</v>
      </c>
      <c r="E88" s="190" t="s">
        <v>258</v>
      </c>
      <c r="F88" s="191" t="s">
        <v>259</v>
      </c>
    </row>
    <row r="89" spans="2:6" ht="15" customHeight="1" x14ac:dyDescent="0.25">
      <c r="B89" s="382" t="s">
        <v>308</v>
      </c>
      <c r="C89" s="389" t="s">
        <v>309</v>
      </c>
      <c r="D89" s="386" t="s">
        <v>310</v>
      </c>
      <c r="E89" s="192" t="s">
        <v>350</v>
      </c>
      <c r="F89" s="184">
        <v>1</v>
      </c>
    </row>
    <row r="90" spans="2:6" ht="15" customHeight="1" x14ac:dyDescent="0.25">
      <c r="B90" s="396"/>
      <c r="C90" s="400"/>
      <c r="D90" s="397"/>
      <c r="E90" s="157" t="s">
        <v>351</v>
      </c>
      <c r="F90" s="188">
        <v>1</v>
      </c>
    </row>
    <row r="91" spans="2:6" ht="15" customHeight="1" x14ac:dyDescent="0.25">
      <c r="B91" s="396"/>
      <c r="C91" s="400"/>
      <c r="D91" s="397"/>
      <c r="E91" s="157" t="s">
        <v>37</v>
      </c>
      <c r="F91" s="188">
        <v>2</v>
      </c>
    </row>
    <row r="92" spans="2:6" x14ac:dyDescent="0.25">
      <c r="B92" s="383"/>
      <c r="C92" s="390"/>
      <c r="D92" s="387"/>
      <c r="E92" s="164" t="s">
        <v>352</v>
      </c>
      <c r="F92" s="185">
        <v>0</v>
      </c>
    </row>
    <row r="93" spans="2:6" ht="15" customHeight="1" x14ac:dyDescent="0.25">
      <c r="B93" s="383"/>
      <c r="C93" s="387" t="s">
        <v>127</v>
      </c>
      <c r="D93" s="387" t="s">
        <v>311</v>
      </c>
      <c r="E93" s="164" t="s">
        <v>37</v>
      </c>
      <c r="F93" s="185">
        <v>3</v>
      </c>
    </row>
    <row r="94" spans="2:6" x14ac:dyDescent="0.25">
      <c r="B94" s="383"/>
      <c r="C94" s="387"/>
      <c r="D94" s="387"/>
      <c r="E94" s="164" t="s">
        <v>132</v>
      </c>
      <c r="F94" s="185">
        <v>0</v>
      </c>
    </row>
    <row r="95" spans="2:6" x14ac:dyDescent="0.25">
      <c r="B95" s="383"/>
      <c r="C95" s="387"/>
      <c r="D95" s="387" t="s">
        <v>312</v>
      </c>
      <c r="E95" s="164" t="s">
        <v>37</v>
      </c>
      <c r="F95" s="185">
        <v>3</v>
      </c>
    </row>
    <row r="96" spans="2:6" x14ac:dyDescent="0.25">
      <c r="B96" s="383"/>
      <c r="C96" s="387"/>
      <c r="D96" s="387"/>
      <c r="E96" s="164" t="s">
        <v>132</v>
      </c>
      <c r="F96" s="185">
        <v>0</v>
      </c>
    </row>
    <row r="97" spans="2:6" x14ac:dyDescent="0.25">
      <c r="B97" s="383"/>
      <c r="C97" s="387"/>
      <c r="D97" s="387" t="s">
        <v>313</v>
      </c>
      <c r="E97" s="164" t="s">
        <v>37</v>
      </c>
      <c r="F97" s="185">
        <v>3</v>
      </c>
    </row>
    <row r="98" spans="2:6" ht="15.75" thickBot="1" x14ac:dyDescent="0.3">
      <c r="B98" s="384"/>
      <c r="C98" s="398"/>
      <c r="D98" s="398"/>
      <c r="E98" s="194" t="s">
        <v>132</v>
      </c>
      <c r="F98" s="193">
        <v>0</v>
      </c>
    </row>
    <row r="99" spans="2:6" ht="15" customHeight="1" x14ac:dyDescent="0.25">
      <c r="B99" s="382" t="s">
        <v>314</v>
      </c>
      <c r="C99" s="389" t="s">
        <v>315</v>
      </c>
      <c r="D99" s="386" t="s">
        <v>131</v>
      </c>
      <c r="E99" s="192" t="s">
        <v>37</v>
      </c>
      <c r="F99" s="184">
        <v>2</v>
      </c>
    </row>
    <row r="100" spans="2:6" ht="15.75" customHeight="1" x14ac:dyDescent="0.25">
      <c r="B100" s="383"/>
      <c r="C100" s="390"/>
      <c r="D100" s="387"/>
      <c r="E100" s="164" t="s">
        <v>132</v>
      </c>
      <c r="F100" s="185">
        <v>0</v>
      </c>
    </row>
    <row r="101" spans="2:6" ht="15" customHeight="1" x14ac:dyDescent="0.25">
      <c r="B101" s="383"/>
      <c r="C101" s="390"/>
      <c r="D101" s="387" t="s">
        <v>133</v>
      </c>
      <c r="E101" s="164" t="s">
        <v>37</v>
      </c>
      <c r="F101" s="185">
        <v>2</v>
      </c>
    </row>
    <row r="102" spans="2:6" ht="15.75" customHeight="1" x14ac:dyDescent="0.25">
      <c r="B102" s="383"/>
      <c r="C102" s="390"/>
      <c r="D102" s="387"/>
      <c r="E102" s="164" t="s">
        <v>132</v>
      </c>
      <c r="F102" s="185">
        <v>0</v>
      </c>
    </row>
    <row r="103" spans="2:6" x14ac:dyDescent="0.25">
      <c r="B103" s="383"/>
      <c r="C103" s="390"/>
      <c r="D103" s="387" t="s">
        <v>134</v>
      </c>
      <c r="E103" s="164" t="s">
        <v>37</v>
      </c>
      <c r="F103" s="185">
        <v>2</v>
      </c>
    </row>
    <row r="104" spans="2:6" x14ac:dyDescent="0.25">
      <c r="B104" s="383"/>
      <c r="C104" s="390"/>
      <c r="D104" s="387"/>
      <c r="E104" s="164" t="s">
        <v>132</v>
      </c>
      <c r="F104" s="185">
        <v>0</v>
      </c>
    </row>
    <row r="105" spans="2:6" x14ac:dyDescent="0.25">
      <c r="B105" s="383"/>
      <c r="C105" s="390"/>
      <c r="D105" s="387" t="s">
        <v>135</v>
      </c>
      <c r="E105" s="164" t="s">
        <v>37</v>
      </c>
      <c r="F105" s="185">
        <v>1</v>
      </c>
    </row>
    <row r="106" spans="2:6" x14ac:dyDescent="0.25">
      <c r="B106" s="383"/>
      <c r="C106" s="390"/>
      <c r="D106" s="387"/>
      <c r="E106" s="164" t="s">
        <v>132</v>
      </c>
      <c r="F106" s="185">
        <v>0</v>
      </c>
    </row>
    <row r="107" spans="2:6" x14ac:dyDescent="0.25">
      <c r="B107" s="383"/>
      <c r="C107" s="390" t="s">
        <v>136</v>
      </c>
      <c r="D107" s="387" t="s">
        <v>137</v>
      </c>
      <c r="E107" s="164" t="s">
        <v>37</v>
      </c>
      <c r="F107" s="185">
        <v>3</v>
      </c>
    </row>
    <row r="108" spans="2:6" ht="15.75" thickBot="1" x14ac:dyDescent="0.3">
      <c r="B108" s="384"/>
      <c r="C108" s="391"/>
      <c r="D108" s="398"/>
      <c r="E108" s="194" t="s">
        <v>132</v>
      </c>
      <c r="F108" s="193">
        <v>0</v>
      </c>
    </row>
    <row r="109" spans="2:6" x14ac:dyDescent="0.25">
      <c r="B109" s="382" t="s">
        <v>316</v>
      </c>
      <c r="C109" s="389" t="s">
        <v>141</v>
      </c>
      <c r="D109" s="386" t="s">
        <v>142</v>
      </c>
      <c r="E109" s="192" t="s">
        <v>37</v>
      </c>
      <c r="F109" s="184">
        <v>4</v>
      </c>
    </row>
    <row r="110" spans="2:6" x14ac:dyDescent="0.25">
      <c r="B110" s="383"/>
      <c r="C110" s="390"/>
      <c r="D110" s="387"/>
      <c r="E110" s="164" t="s">
        <v>132</v>
      </c>
      <c r="F110" s="185">
        <v>0</v>
      </c>
    </row>
    <row r="111" spans="2:6" x14ac:dyDescent="0.25">
      <c r="B111" s="383"/>
      <c r="C111" s="390"/>
      <c r="D111" s="387" t="s">
        <v>143</v>
      </c>
      <c r="E111" s="164" t="s">
        <v>37</v>
      </c>
      <c r="F111" s="185">
        <v>4</v>
      </c>
    </row>
    <row r="112" spans="2:6" x14ac:dyDescent="0.25">
      <c r="B112" s="383"/>
      <c r="C112" s="390"/>
      <c r="D112" s="387"/>
      <c r="E112" s="164" t="s">
        <v>132</v>
      </c>
      <c r="F112" s="185">
        <v>0</v>
      </c>
    </row>
    <row r="113" spans="2:6" x14ac:dyDescent="0.25">
      <c r="B113" s="383"/>
      <c r="C113" s="390"/>
      <c r="D113" s="387" t="s">
        <v>144</v>
      </c>
      <c r="E113" s="164" t="s">
        <v>37</v>
      </c>
      <c r="F113" s="185">
        <v>4</v>
      </c>
    </row>
    <row r="114" spans="2:6" x14ac:dyDescent="0.25">
      <c r="B114" s="383"/>
      <c r="C114" s="390"/>
      <c r="D114" s="387"/>
      <c r="E114" s="164" t="s">
        <v>132</v>
      </c>
      <c r="F114" s="185">
        <v>0</v>
      </c>
    </row>
    <row r="115" spans="2:6" x14ac:dyDescent="0.25">
      <c r="B115" s="383"/>
      <c r="C115" s="390"/>
      <c r="D115" s="387" t="s">
        <v>145</v>
      </c>
      <c r="E115" s="164" t="s">
        <v>37</v>
      </c>
      <c r="F115" s="185">
        <v>4</v>
      </c>
    </row>
    <row r="116" spans="2:6" x14ac:dyDescent="0.25">
      <c r="B116" s="383"/>
      <c r="C116" s="390"/>
      <c r="D116" s="387"/>
      <c r="E116" s="164" t="s">
        <v>132</v>
      </c>
      <c r="F116" s="185">
        <v>0</v>
      </c>
    </row>
    <row r="117" spans="2:6" x14ac:dyDescent="0.25">
      <c r="B117" s="383"/>
      <c r="C117" s="390"/>
      <c r="D117" s="387" t="s">
        <v>317</v>
      </c>
      <c r="E117" s="164" t="s">
        <v>37</v>
      </c>
      <c r="F117" s="185">
        <v>1</v>
      </c>
    </row>
    <row r="118" spans="2:6" x14ac:dyDescent="0.25">
      <c r="B118" s="383"/>
      <c r="C118" s="390"/>
      <c r="D118" s="387"/>
      <c r="E118" s="164" t="s">
        <v>132</v>
      </c>
      <c r="F118" s="185">
        <v>0</v>
      </c>
    </row>
    <row r="119" spans="2:6" x14ac:dyDescent="0.25">
      <c r="B119" s="383"/>
      <c r="C119" s="390" t="s">
        <v>318</v>
      </c>
      <c r="D119" s="387" t="s">
        <v>148</v>
      </c>
      <c r="E119" s="164" t="s">
        <v>37</v>
      </c>
      <c r="F119" s="185">
        <v>4</v>
      </c>
    </row>
    <row r="120" spans="2:6" x14ac:dyDescent="0.25">
      <c r="B120" s="383"/>
      <c r="C120" s="390"/>
      <c r="D120" s="387"/>
      <c r="E120" s="164" t="s">
        <v>132</v>
      </c>
      <c r="F120" s="185">
        <v>0</v>
      </c>
    </row>
    <row r="121" spans="2:6" x14ac:dyDescent="0.25">
      <c r="B121" s="383"/>
      <c r="C121" s="390"/>
      <c r="D121" s="387" t="s">
        <v>149</v>
      </c>
      <c r="E121" s="164" t="s">
        <v>37</v>
      </c>
      <c r="F121" s="185">
        <v>4</v>
      </c>
    </row>
    <row r="122" spans="2:6" x14ac:dyDescent="0.25">
      <c r="B122" s="383"/>
      <c r="C122" s="390"/>
      <c r="D122" s="387"/>
      <c r="E122" s="164" t="s">
        <v>132</v>
      </c>
      <c r="F122" s="185">
        <v>0</v>
      </c>
    </row>
    <row r="123" spans="2:6" x14ac:dyDescent="0.25">
      <c r="B123" s="383"/>
      <c r="C123" s="390"/>
      <c r="D123" s="387" t="s">
        <v>150</v>
      </c>
      <c r="E123" s="164" t="s">
        <v>37</v>
      </c>
      <c r="F123" s="185">
        <v>4</v>
      </c>
    </row>
    <row r="124" spans="2:6" x14ac:dyDescent="0.25">
      <c r="B124" s="383"/>
      <c r="C124" s="390"/>
      <c r="D124" s="387"/>
      <c r="E124" s="164" t="s">
        <v>132</v>
      </c>
      <c r="F124" s="185">
        <v>0</v>
      </c>
    </row>
    <row r="125" spans="2:6" x14ac:dyDescent="0.25">
      <c r="B125" s="383"/>
      <c r="C125" s="390"/>
      <c r="D125" s="387" t="s">
        <v>151</v>
      </c>
      <c r="E125" s="164" t="s">
        <v>37</v>
      </c>
      <c r="F125" s="185">
        <v>4</v>
      </c>
    </row>
    <row r="126" spans="2:6" x14ac:dyDescent="0.25">
      <c r="B126" s="383"/>
      <c r="C126" s="390"/>
      <c r="D126" s="387"/>
      <c r="E126" s="164" t="s">
        <v>132</v>
      </c>
      <c r="F126" s="185">
        <v>0</v>
      </c>
    </row>
    <row r="127" spans="2:6" x14ac:dyDescent="0.25">
      <c r="B127" s="383"/>
      <c r="C127" s="390"/>
      <c r="D127" s="387" t="s">
        <v>152</v>
      </c>
      <c r="E127" s="164" t="s">
        <v>37</v>
      </c>
      <c r="F127" s="185">
        <v>4</v>
      </c>
    </row>
    <row r="128" spans="2:6" x14ac:dyDescent="0.25">
      <c r="B128" s="383"/>
      <c r="C128" s="390"/>
      <c r="D128" s="387"/>
      <c r="E128" s="164" t="s">
        <v>132</v>
      </c>
      <c r="F128" s="185">
        <v>0</v>
      </c>
    </row>
    <row r="129" spans="2:6" x14ac:dyDescent="0.25">
      <c r="B129" s="383"/>
      <c r="C129" s="390"/>
      <c r="D129" s="387" t="s">
        <v>153</v>
      </c>
      <c r="E129" s="164" t="s">
        <v>37</v>
      </c>
      <c r="F129" s="185">
        <v>4</v>
      </c>
    </row>
    <row r="130" spans="2:6" x14ac:dyDescent="0.25">
      <c r="B130" s="383"/>
      <c r="C130" s="390"/>
      <c r="D130" s="387"/>
      <c r="E130" s="164" t="s">
        <v>132</v>
      </c>
      <c r="F130" s="185">
        <v>0</v>
      </c>
    </row>
    <row r="131" spans="2:6" x14ac:dyDescent="0.25">
      <c r="B131" s="383"/>
      <c r="C131" s="390"/>
      <c r="D131" s="387" t="s">
        <v>154</v>
      </c>
      <c r="E131" s="164" t="s">
        <v>37</v>
      </c>
      <c r="F131" s="185">
        <v>4</v>
      </c>
    </row>
    <row r="132" spans="2:6" x14ac:dyDescent="0.25">
      <c r="B132" s="383"/>
      <c r="C132" s="390"/>
      <c r="D132" s="387"/>
      <c r="E132" s="164" t="s">
        <v>132</v>
      </c>
      <c r="F132" s="185">
        <v>0</v>
      </c>
    </row>
    <row r="133" spans="2:6" x14ac:dyDescent="0.25">
      <c r="B133" s="383"/>
      <c r="C133" s="390"/>
      <c r="D133" s="387" t="s">
        <v>155</v>
      </c>
      <c r="E133" s="164" t="s">
        <v>37</v>
      </c>
      <c r="F133" s="185">
        <v>4</v>
      </c>
    </row>
    <row r="134" spans="2:6" x14ac:dyDescent="0.25">
      <c r="B134" s="383"/>
      <c r="C134" s="390"/>
      <c r="D134" s="387"/>
      <c r="E134" s="164" t="s">
        <v>132</v>
      </c>
      <c r="F134" s="185">
        <v>0</v>
      </c>
    </row>
    <row r="135" spans="2:6" x14ac:dyDescent="0.25">
      <c r="B135" s="383"/>
      <c r="C135" s="390"/>
      <c r="D135" s="387" t="s">
        <v>156</v>
      </c>
      <c r="E135" s="164" t="s">
        <v>37</v>
      </c>
      <c r="F135" s="185">
        <v>1</v>
      </c>
    </row>
    <row r="136" spans="2:6" x14ac:dyDescent="0.25">
      <c r="B136" s="383"/>
      <c r="C136" s="390"/>
      <c r="D136" s="387"/>
      <c r="E136" s="164" t="s">
        <v>132</v>
      </c>
      <c r="F136" s="185">
        <v>0</v>
      </c>
    </row>
    <row r="137" spans="2:6" ht="15" customHeight="1" x14ac:dyDescent="0.25">
      <c r="B137" s="383"/>
      <c r="C137" s="377" t="s">
        <v>157</v>
      </c>
      <c r="D137" s="387" t="s">
        <v>319</v>
      </c>
      <c r="E137" s="164" t="s">
        <v>37</v>
      </c>
      <c r="F137" s="185">
        <v>2</v>
      </c>
    </row>
    <row r="138" spans="2:6" x14ac:dyDescent="0.25">
      <c r="B138" s="383"/>
      <c r="C138" s="320"/>
      <c r="D138" s="398"/>
      <c r="E138" s="194" t="s">
        <v>132</v>
      </c>
      <c r="F138" s="193">
        <v>0</v>
      </c>
    </row>
    <row r="139" spans="2:6" ht="15" customHeight="1" x14ac:dyDescent="0.25">
      <c r="B139" s="383"/>
      <c r="C139" s="320"/>
      <c r="D139" s="387" t="s">
        <v>320</v>
      </c>
      <c r="E139" s="164" t="s">
        <v>37</v>
      </c>
      <c r="F139" s="185">
        <v>2</v>
      </c>
    </row>
    <row r="140" spans="2:6" x14ac:dyDescent="0.25">
      <c r="B140" s="383"/>
      <c r="C140" s="320"/>
      <c r="D140" s="398"/>
      <c r="E140" s="194" t="s">
        <v>132</v>
      </c>
      <c r="F140" s="193">
        <v>0</v>
      </c>
    </row>
    <row r="141" spans="2:6" ht="15" customHeight="1" x14ac:dyDescent="0.25">
      <c r="B141" s="383"/>
      <c r="C141" s="320"/>
      <c r="D141" s="387" t="s">
        <v>321</v>
      </c>
      <c r="E141" s="164" t="s">
        <v>37</v>
      </c>
      <c r="F141" s="185">
        <v>2</v>
      </c>
    </row>
    <row r="142" spans="2:6" ht="15.75" thickBot="1" x14ac:dyDescent="0.3">
      <c r="B142" s="384"/>
      <c r="C142" s="321"/>
      <c r="D142" s="398"/>
      <c r="E142" s="194" t="s">
        <v>132</v>
      </c>
      <c r="F142" s="193">
        <v>0</v>
      </c>
    </row>
    <row r="143" spans="2:6" x14ac:dyDescent="0.25">
      <c r="B143" s="382" t="s">
        <v>322</v>
      </c>
      <c r="C143" s="386" t="s">
        <v>323</v>
      </c>
      <c r="D143" s="386" t="s">
        <v>163</v>
      </c>
      <c r="E143" s="192" t="s">
        <v>37</v>
      </c>
      <c r="F143" s="184">
        <v>10</v>
      </c>
    </row>
    <row r="144" spans="2:6" ht="15.75" thickBot="1" x14ac:dyDescent="0.3">
      <c r="B144" s="383"/>
      <c r="C144" s="387"/>
      <c r="D144" s="387"/>
      <c r="E144" s="164" t="s">
        <v>132</v>
      </c>
      <c r="F144" s="185">
        <v>0</v>
      </c>
    </row>
    <row r="145" spans="2:6" x14ac:dyDescent="0.25">
      <c r="B145" s="383"/>
      <c r="C145" s="387"/>
      <c r="D145" s="386" t="s">
        <v>353</v>
      </c>
      <c r="E145" s="164" t="s">
        <v>37</v>
      </c>
      <c r="F145" s="185">
        <v>5</v>
      </c>
    </row>
    <row r="146" spans="2:6" x14ac:dyDescent="0.25">
      <c r="B146" s="383"/>
      <c r="C146" s="387"/>
      <c r="D146" s="387"/>
      <c r="E146" s="164" t="s">
        <v>132</v>
      </c>
      <c r="F146" s="185">
        <v>0</v>
      </c>
    </row>
    <row r="147" spans="2:6" x14ac:dyDescent="0.25">
      <c r="B147" s="383"/>
      <c r="C147" s="387"/>
      <c r="D147" s="387" t="s">
        <v>164</v>
      </c>
      <c r="E147" s="164" t="s">
        <v>37</v>
      </c>
      <c r="F147" s="185">
        <v>2</v>
      </c>
    </row>
    <row r="148" spans="2:6" ht="15.75" thickBot="1" x14ac:dyDescent="0.3">
      <c r="B148" s="385"/>
      <c r="C148" s="388"/>
      <c r="D148" s="388"/>
      <c r="E148" s="170" t="s">
        <v>132</v>
      </c>
      <c r="F148" s="187">
        <v>0</v>
      </c>
    </row>
  </sheetData>
  <mergeCells count="104">
    <mergeCell ref="B143:B148"/>
    <mergeCell ref="C143:C148"/>
    <mergeCell ref="D143:D144"/>
    <mergeCell ref="D145:D146"/>
    <mergeCell ref="D147:D148"/>
    <mergeCell ref="D123:D124"/>
    <mergeCell ref="D125:D126"/>
    <mergeCell ref="D127:D128"/>
    <mergeCell ref="D129:D130"/>
    <mergeCell ref="D131:D132"/>
    <mergeCell ref="D133:D134"/>
    <mergeCell ref="B109:B142"/>
    <mergeCell ref="C109:C118"/>
    <mergeCell ref="D109:D110"/>
    <mergeCell ref="D111:D112"/>
    <mergeCell ref="D113:D114"/>
    <mergeCell ref="D115:D116"/>
    <mergeCell ref="D117:D118"/>
    <mergeCell ref="C119:C136"/>
    <mergeCell ref="D119:D120"/>
    <mergeCell ref="D121:D122"/>
    <mergeCell ref="D135:D136"/>
    <mergeCell ref="C137:C142"/>
    <mergeCell ref="D137:D138"/>
    <mergeCell ref="D139:D140"/>
    <mergeCell ref="D141:D142"/>
    <mergeCell ref="B99:B108"/>
    <mergeCell ref="C99:C106"/>
    <mergeCell ref="D99:D100"/>
    <mergeCell ref="D101:D102"/>
    <mergeCell ref="D103:D104"/>
    <mergeCell ref="D105:D106"/>
    <mergeCell ref="C107:C108"/>
    <mergeCell ref="D107:D108"/>
    <mergeCell ref="D80:D82"/>
    <mergeCell ref="D83:D85"/>
    <mergeCell ref="B89:B98"/>
    <mergeCell ref="C89:C92"/>
    <mergeCell ref="D89:D92"/>
    <mergeCell ref="C93:C98"/>
    <mergeCell ref="D93:D94"/>
    <mergeCell ref="D95:D96"/>
    <mergeCell ref="D97:D98"/>
    <mergeCell ref="B68:B72"/>
    <mergeCell ref="C68:C70"/>
    <mergeCell ref="D68:D70"/>
    <mergeCell ref="C71:C72"/>
    <mergeCell ref="D71:D72"/>
    <mergeCell ref="B73:B85"/>
    <mergeCell ref="C73:C79"/>
    <mergeCell ref="D73:D76"/>
    <mergeCell ref="D77:D79"/>
    <mergeCell ref="C80:C85"/>
    <mergeCell ref="B59:B62"/>
    <mergeCell ref="C59:C62"/>
    <mergeCell ref="D59:D62"/>
    <mergeCell ref="B66:B67"/>
    <mergeCell ref="C66:C67"/>
    <mergeCell ref="D66:D67"/>
    <mergeCell ref="B47:B52"/>
    <mergeCell ref="C47:C52"/>
    <mergeCell ref="D47:D49"/>
    <mergeCell ref="D50:D52"/>
    <mergeCell ref="B53:B58"/>
    <mergeCell ref="C53:C58"/>
    <mergeCell ref="D53:D55"/>
    <mergeCell ref="D56:D58"/>
    <mergeCell ref="AF5:AF6"/>
    <mergeCell ref="A38:X38"/>
    <mergeCell ref="B41:B46"/>
    <mergeCell ref="C41:C46"/>
    <mergeCell ref="D41:D43"/>
    <mergeCell ref="D44:D46"/>
    <mergeCell ref="O5:P5"/>
    <mergeCell ref="Q5:R5"/>
    <mergeCell ref="S5:T5"/>
    <mergeCell ref="U5:V5"/>
    <mergeCell ref="W5:X5"/>
    <mergeCell ref="Y5:Y6"/>
    <mergeCell ref="B4:B6"/>
    <mergeCell ref="Z4:AA4"/>
    <mergeCell ref="AB4:AC4"/>
    <mergeCell ref="AD4:AE4"/>
    <mergeCell ref="AG4:AG6"/>
    <mergeCell ref="C5:D5"/>
    <mergeCell ref="E5:F5"/>
    <mergeCell ref="G5:H5"/>
    <mergeCell ref="I5:J5"/>
    <mergeCell ref="K5:L5"/>
    <mergeCell ref="M5:N5"/>
    <mergeCell ref="M4:N4"/>
    <mergeCell ref="O4:P4"/>
    <mergeCell ref="Q4:R4"/>
    <mergeCell ref="S4:T4"/>
    <mergeCell ref="U4:V4"/>
    <mergeCell ref="W4:X4"/>
    <mergeCell ref="C4:D4"/>
    <mergeCell ref="E4:F4"/>
    <mergeCell ref="G4:H4"/>
    <mergeCell ref="I4:J4"/>
    <mergeCell ref="K4:L4"/>
    <mergeCell ref="Z5:AA5"/>
    <mergeCell ref="AB5:AC5"/>
    <mergeCell ref="AD5:AE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5BDE1317AE7048B09EF1C21C437C79" ma:contentTypeVersion="3" ma:contentTypeDescription="Crear nuevo documento." ma:contentTypeScope="" ma:versionID="c3abfc765ef0f9c932fe1287ed7eb677">
  <xsd:schema xmlns:xsd="http://www.w3.org/2001/XMLSchema" xmlns:xs="http://www.w3.org/2001/XMLSchema" xmlns:p="http://schemas.microsoft.com/office/2006/metadata/properties" xmlns:ns2="d7955e38-e198-473d-b7eb-679bbff15bd5" targetNamespace="http://schemas.microsoft.com/office/2006/metadata/properties" ma:root="true" ma:fieldsID="a7343001b1c6aefe8799aff90d3a106b" ns2:_="">
    <xsd:import namespace="d7955e38-e198-473d-b7eb-679bbff15bd5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55e38-e198-473d-b7eb-679bbff15b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 ma:readOnly="true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2C6A2B-DA70-46F0-84AD-8E97D25E7B5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47E5459-7B7F-483B-ACC1-0117C65DC6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C534F9-A582-489F-8E73-5C991B6209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955e38-e198-473d-b7eb-679bbff15b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Baremación-EDER-PROD</vt:lpstr>
      <vt:lpstr>Referencias Productivos</vt:lpstr>
      <vt:lpstr>Referencias NO Productivos</vt:lpstr>
      <vt:lpstr>'Baremación-EDER-PROD'!Área_de_impresión</vt:lpstr>
      <vt:lpstr>'Baremación-EDER-PROD'!Títulos_a_imprimir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D420228</dc:creator>
  <cp:lastModifiedBy>Paula Mostajo</cp:lastModifiedBy>
  <dcterms:created xsi:type="dcterms:W3CDTF">2023-11-17T07:22:53Z</dcterms:created>
  <dcterms:modified xsi:type="dcterms:W3CDTF">2025-09-09T11:43:23Z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0x010100645BDE1317AE7048B09EF1C21C437C79</vt:lpwstr>
  </property>
</Properties>
</file>